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35" windowWidth="13020" windowHeight="5220" tabRatio="749" firstSheet="1" activeTab="1"/>
  </bookViews>
  <sheets>
    <sheet name="budget exemple " sheetId="1" state="hidden" r:id="rId1"/>
    <sheet name="Index " sheetId="2" r:id="rId2"/>
    <sheet name="Guide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CC et P" sheetId="19" r:id="rId19"/>
    <sheet name="C&amp;E" sheetId="20" r:id="rId20"/>
    <sheet name="Global" sheetId="21" r:id="rId21"/>
    <sheet name="PRI" sheetId="22" r:id="rId22"/>
  </sheets>
  <definedNames>
    <definedName name="_xlfn.AGGREGATE" hidden="1">#NAME?</definedName>
    <definedName name="_xlfn.IFERROR" hidden="1">#NAME?</definedName>
    <definedName name="OLE_LINK7" localSheetId="2">'Guide'!$B$74</definedName>
    <definedName name="_xlnm.Print_Area" localSheetId="3">'1'!$B$2:$F$43</definedName>
    <definedName name="_xlnm.Print_Area" localSheetId="12">'10'!$B$2:$F$43</definedName>
    <definedName name="_xlnm.Print_Area" localSheetId="13">'11'!$B$2:$F$52</definedName>
    <definedName name="_xlnm.Print_Area" localSheetId="14">'12'!$B$2:$F$52</definedName>
    <definedName name="_xlnm.Print_Area" localSheetId="15">'13'!$B$2:$F$52</definedName>
    <definedName name="_xlnm.Print_Area" localSheetId="16">'14'!$B$2:$F$52</definedName>
    <definedName name="_xlnm.Print_Area" localSheetId="17">'15'!$B$2:$F$52</definedName>
    <definedName name="_xlnm.Print_Area" localSheetId="4">'2'!$B$2:$F$43</definedName>
    <definedName name="_xlnm.Print_Area" localSheetId="5">'3'!$B$2:$F$43</definedName>
    <definedName name="_xlnm.Print_Area" localSheetId="6">'4'!$B$2:$F$43</definedName>
    <definedName name="_xlnm.Print_Area" localSheetId="7">'5'!$B$2:$F$43</definedName>
    <definedName name="_xlnm.Print_Area" localSheetId="8">'6'!$B$2:$F$43</definedName>
    <definedName name="_xlnm.Print_Area" localSheetId="9">'7'!$B$2:$F$43</definedName>
    <definedName name="_xlnm.Print_Area" localSheetId="10">'8'!$B$2:$F$43</definedName>
    <definedName name="_xlnm.Print_Area" localSheetId="11">'9'!$B$2:$F$43</definedName>
    <definedName name="_xlnm.Print_Area" localSheetId="19">'C&amp;E'!$B$2:$G$42</definedName>
    <definedName name="_xlnm.Print_Area" localSheetId="18">'CC et P'!$B$2:$G$61</definedName>
    <definedName name="_xlnm.Print_Area" localSheetId="20">'Global'!$B$2:$G$25</definedName>
    <definedName name="_xlnm.Print_Area" localSheetId="1">'Index '!$B$1:$C$23</definedName>
    <definedName name="_xlnm.Print_Area" localSheetId="21">'PRI'!$B$1:$C$22</definedName>
  </definedNames>
  <calcPr fullCalcOnLoad="1"/>
</workbook>
</file>

<file path=xl/sharedStrings.xml><?xml version="1.0" encoding="utf-8"?>
<sst xmlns="http://schemas.openxmlformats.org/spreadsheetml/2006/main" count="1106" uniqueCount="160">
  <si>
    <t>Budget partiel</t>
  </si>
  <si>
    <t>Total produits en plus</t>
  </si>
  <si>
    <t>Total produits en moins</t>
  </si>
  <si>
    <t>B-Dépenses en moins</t>
  </si>
  <si>
    <t>Changement dans le bénéfice d'exploitation (Gain ou perte)</t>
  </si>
  <si>
    <t>Total des dépenses en moins</t>
  </si>
  <si>
    <t>Total des dépenses en plus</t>
  </si>
  <si>
    <t>En plus</t>
  </si>
  <si>
    <t>En moins</t>
  </si>
  <si>
    <t xml:space="preserve">A-Produits </t>
  </si>
  <si>
    <t>Entrée d'argent</t>
  </si>
  <si>
    <t>Sortie d'argent</t>
  </si>
  <si>
    <t>Total des sorties d'argent</t>
  </si>
  <si>
    <t>Total des entrée d'argent</t>
  </si>
  <si>
    <t xml:space="preserve">Total des améliorations </t>
  </si>
  <si>
    <t>Total des détériorations</t>
  </si>
  <si>
    <t xml:space="preserve">C-sous-total </t>
  </si>
  <si>
    <t>F-sous-total</t>
  </si>
  <si>
    <t xml:space="preserve"> </t>
  </si>
  <si>
    <t>paiement en capital</t>
  </si>
  <si>
    <t xml:space="preserve"> Nom de l'entreprise</t>
  </si>
  <si>
    <t xml:space="preserve">changement envisagé : </t>
  </si>
  <si>
    <r>
      <t xml:space="preserve">D- </t>
    </r>
    <r>
      <rPr>
        <b/>
        <u val="single"/>
        <sz val="12"/>
        <color indexed="8"/>
        <rFont val="Arial"/>
        <family val="2"/>
      </rPr>
      <t xml:space="preserve">Produits </t>
    </r>
  </si>
  <si>
    <r>
      <t xml:space="preserve">E- </t>
    </r>
    <r>
      <rPr>
        <b/>
        <u val="single"/>
        <sz val="12"/>
        <rFont val="Arial"/>
        <family val="2"/>
      </rPr>
      <t>Dépenses en plus</t>
    </r>
  </si>
  <si>
    <t>Entrave au niveau classement et emballage</t>
  </si>
  <si>
    <t>Chariot de travail en hauteur</t>
  </si>
  <si>
    <t>Chariot de récolte</t>
  </si>
  <si>
    <t>Étiqueteuse à air comprimé</t>
  </si>
  <si>
    <t>Amortissement</t>
  </si>
  <si>
    <t>Sous total</t>
  </si>
  <si>
    <t>Liste des onglets</t>
  </si>
  <si>
    <t>Gain monétaire par kg</t>
  </si>
  <si>
    <t>CC et P</t>
  </si>
  <si>
    <t>C &amp; E</t>
  </si>
  <si>
    <t xml:space="preserve">Période d'amortissement </t>
  </si>
  <si>
    <t xml:space="preserve">Changement envisagé : </t>
  </si>
  <si>
    <t>Goutières suspendues</t>
  </si>
  <si>
    <t>Tablier de travail</t>
  </si>
  <si>
    <t>$ /100 m²</t>
  </si>
  <si>
    <r>
      <t xml:space="preserve">Superficie de la serre </t>
    </r>
    <r>
      <rPr>
        <i/>
        <sz val="10"/>
        <rFont val="Arial"/>
        <family val="2"/>
      </rPr>
      <t>(2 serres de 2 500 pi²)</t>
    </r>
  </si>
  <si>
    <t xml:space="preserve">C- Total des améliorations </t>
  </si>
  <si>
    <t>F-Total des détériorations</t>
  </si>
  <si>
    <t>Taux d'intérêt simple sur l'investissement</t>
  </si>
  <si>
    <t>Paiement de capital emprunté</t>
  </si>
  <si>
    <t>Intérêts sur emprunts</t>
  </si>
  <si>
    <t>Total des entrées d'argent</t>
  </si>
  <si>
    <t>Autres</t>
  </si>
  <si>
    <t>En production (entretien et récolte de la culture)</t>
  </si>
  <si>
    <t>Au changement de culture</t>
  </si>
  <si>
    <t>H- Entrées d'argent</t>
  </si>
  <si>
    <t>I-Sorties d'argent</t>
  </si>
  <si>
    <t>Autre(s)</t>
  </si>
  <si>
    <t>Intérêts *</t>
  </si>
  <si>
    <t>Investissement requis</t>
  </si>
  <si>
    <t>Nombre de versements par an</t>
  </si>
  <si>
    <t>Taux d'intérêt sur l'emprunt</t>
  </si>
  <si>
    <t>J-Total des gains ou pertes annuels en flux de trésorerie durant la période d'emprunt</t>
  </si>
  <si>
    <t>Effet sur le changement de culture des:</t>
  </si>
  <si>
    <t>Effet sur la production (entretien et récolte de la culture) des:</t>
  </si>
  <si>
    <t>$/100 m²</t>
  </si>
  <si>
    <t>Superficie</t>
  </si>
  <si>
    <t>Moyenne pondérée de la durée d'amortissement</t>
  </si>
  <si>
    <t>sur le changement de culture, l'entretien et la récolte de la culture</t>
  </si>
  <si>
    <t>h/100 m²</t>
  </si>
  <si>
    <r>
      <t xml:space="preserve">G- Changement dans le bénéfice d'exploitation: </t>
    </r>
    <r>
      <rPr>
        <b/>
        <sz val="11"/>
        <rFont val="Arial"/>
        <family val="2"/>
      </rPr>
      <t>Gains ou (pertes) en comptabilité d'exercice</t>
    </r>
  </si>
  <si>
    <t>I- Entrées d'argent</t>
  </si>
  <si>
    <t>J-Sorties d'argent</t>
  </si>
  <si>
    <t>K-Total des gains ou pertes annuels en flux de trésorerie durant la période d'emprunt</t>
  </si>
  <si>
    <t>L- Gains ou pertes annuels en flux de trésorerie et en  $ / 100 m²</t>
  </si>
  <si>
    <t>Paiement du capital emprunté</t>
  </si>
  <si>
    <t>K- Gains ou pertes annuels en flux de trésorerie et en  $ / 100 m²/an</t>
  </si>
  <si>
    <r>
      <t>Budget partiel annuel</t>
    </r>
    <r>
      <rPr>
        <b/>
        <sz val="18"/>
        <color indexed="8"/>
        <rFont val="Arial"/>
        <family val="2"/>
      </rPr>
      <t xml:space="preserve"> </t>
    </r>
    <r>
      <rPr>
        <sz val="18"/>
        <color indexed="8"/>
        <rFont val="Arial"/>
        <family val="2"/>
      </rPr>
      <t>($ / tonne &amp; $ /100 m²)</t>
    </r>
  </si>
  <si>
    <r>
      <t xml:space="preserve">Budget partiel annuel </t>
    </r>
    <r>
      <rPr>
        <b/>
        <sz val="18"/>
        <color indexed="8"/>
        <rFont val="Arial"/>
        <family val="2"/>
      </rPr>
      <t xml:space="preserve"> </t>
    </r>
    <r>
      <rPr>
        <sz val="18"/>
        <color indexed="8"/>
        <rFont val="Arial"/>
        <family val="2"/>
      </rPr>
      <t>($ /100 m²)</t>
    </r>
  </si>
  <si>
    <t>On peut entrer  des données dans les cellules ombrées roses</t>
  </si>
  <si>
    <t>Effet sur la productivité de l'élimination d'entraves</t>
  </si>
  <si>
    <t>sur le classement et l'emballage</t>
  </si>
  <si>
    <t xml:space="preserve">Budget partiel annuel: résumé de l'effet des mesures </t>
  </si>
  <si>
    <t>Quantité de produit à traiter (tonnes)</t>
  </si>
  <si>
    <t>Aménagement espace de travail</t>
  </si>
  <si>
    <t>Période de récupération de l'investissement</t>
  </si>
  <si>
    <t>Effet sur la production (entretien et récolte de la culture)</t>
  </si>
  <si>
    <t>Effet sur les changements de cultures</t>
  </si>
  <si>
    <t xml:space="preserve">Élimination des entraves </t>
  </si>
  <si>
    <t>Effet sur le classement et l'emballage</t>
  </si>
  <si>
    <t>Sous total des dépenses en moins</t>
  </si>
  <si>
    <t>Sous total des dépenses en plus</t>
  </si>
  <si>
    <r>
      <t>Budget partiel annuel: sommaire global</t>
    </r>
    <r>
      <rPr>
        <b/>
        <sz val="16"/>
        <color indexed="8"/>
        <rFont val="Arial"/>
        <family val="2"/>
      </rPr>
      <t xml:space="preserve"> ($ /100 m²)</t>
    </r>
  </si>
  <si>
    <t xml:space="preserve">A- Produits </t>
  </si>
  <si>
    <t>B- Dépenses en moins</t>
  </si>
  <si>
    <t>F- Total des détériorations</t>
  </si>
  <si>
    <r>
      <t>G- Changement dans le bénéfice d'exploitation</t>
    </r>
    <r>
      <rPr>
        <b/>
        <sz val="11"/>
        <rFont val="Arial"/>
        <family val="2"/>
      </rPr>
      <t>: Gains ou (pertes) en comptabilité d'exercice</t>
    </r>
  </si>
  <si>
    <r>
      <rPr>
        <b/>
        <sz val="12"/>
        <rFont val="Arial"/>
        <family val="2"/>
      </rPr>
      <t>Changement dans le bénéfice d'exploitation</t>
    </r>
    <r>
      <rPr>
        <b/>
        <sz val="11"/>
        <rFont val="Arial"/>
        <family val="2"/>
      </rPr>
      <t xml:space="preserve">: </t>
    </r>
    <r>
      <rPr>
        <sz val="11"/>
        <rFont val="Arial"/>
        <family val="2"/>
      </rPr>
      <t>Gains ou (pertes) en comptabilité d'exercice</t>
    </r>
  </si>
  <si>
    <t>Frais d'opérations et d'entretien</t>
  </si>
  <si>
    <t>Main d'œuvre</t>
  </si>
  <si>
    <t>Frais d'opération et d'entretien</t>
  </si>
  <si>
    <r>
      <t>Dépenses en plus:</t>
    </r>
    <r>
      <rPr>
        <sz val="11"/>
        <rFont val="Arial"/>
        <family val="2"/>
      </rPr>
      <t xml:space="preserve"> amortissement, intérêts sur capital et autres</t>
    </r>
  </si>
  <si>
    <t>Total des dépenses M.O. en moins</t>
  </si>
  <si>
    <t>Rails de guidage</t>
  </si>
  <si>
    <t>de la durée</t>
  </si>
  <si>
    <t>de l'investissement</t>
  </si>
  <si>
    <t>différence</t>
  </si>
  <si>
    <t>entretien pulvérisateur</t>
  </si>
  <si>
    <t>(culture)</t>
  </si>
  <si>
    <t>(classement et emballage)</t>
  </si>
  <si>
    <t xml:space="preserve"> Entrées d'argent</t>
  </si>
  <si>
    <t>Sorties d'argent</t>
  </si>
  <si>
    <t>Sommaire global</t>
  </si>
  <si>
    <t>Résumé de l'effet des mesures  sur le classement et l'emballage</t>
  </si>
  <si>
    <t>Budget partiel annuel</t>
  </si>
  <si>
    <t>Guide</t>
  </si>
  <si>
    <t>Onglet</t>
  </si>
  <si>
    <t>Item</t>
  </si>
  <si>
    <t xml:space="preserve">1% de production en plus </t>
  </si>
  <si>
    <t>Résumé de l'effet des mesures sur le changement de culture, l'entretien et la récolte de la culture</t>
  </si>
  <si>
    <t>Global</t>
  </si>
  <si>
    <t>H- Période de récupération de l'investissement</t>
  </si>
  <si>
    <t>I- Gain monétaire par kg</t>
  </si>
  <si>
    <t>de la durée de vie</t>
  </si>
  <si>
    <t xml:space="preserve">Pulvérisateur </t>
  </si>
  <si>
    <t>Explication du budget partiel 
et guide pour utiliser le canevas électronique pour sa réalisation</t>
  </si>
  <si>
    <t>Le présent canevas électronique (chiffrier Excel) est un auxiliaire pour réaliser des budgets partiels dans le cadre de changements visant à améliorer la productivité de la main-d'œuvre dans un contexte de production maraîchère en serre. Il complète l’outil de diagnostic sur l’efficacité du travail en référence avec la qualité des infrastructures et des outils</t>
  </si>
  <si>
    <r>
      <t>Cet outil de budget partiel a été réalisé dans le cadre du projet </t>
    </r>
    <r>
      <rPr>
        <b/>
        <i/>
        <sz val="11"/>
        <color indexed="8"/>
        <rFont val="Arial"/>
        <family val="2"/>
      </rPr>
      <t>Indicateurs technico économiques au service de l’organisation du travail en serriculture maraîchère</t>
    </r>
    <r>
      <rPr>
        <sz val="11"/>
        <color indexed="8"/>
        <rFont val="Arial"/>
        <family val="2"/>
      </rPr>
      <t xml:space="preserve"> réalisé par le Syndicat des producteurs en serre du Québec grâce à l’appui financier du CEGA (</t>
    </r>
    <r>
      <rPr>
        <i/>
        <sz val="11"/>
        <color indexed="8"/>
        <rFont val="Arial"/>
        <family val="2"/>
      </rPr>
      <t>Centre d’Expertise en Gestion Agricole</t>
    </r>
    <r>
      <rPr>
        <sz val="11"/>
        <color indexed="8"/>
        <rFont val="Arial"/>
        <family val="2"/>
      </rPr>
      <t xml:space="preserve">) et l’intérieur du </t>
    </r>
    <r>
      <rPr>
        <i/>
        <sz val="12"/>
        <color indexed="8"/>
        <rFont val="Arial"/>
        <family val="2"/>
      </rPr>
      <t>Programme d’appui du développement des exploitations agricoles</t>
    </r>
    <r>
      <rPr>
        <sz val="12"/>
        <color indexed="8"/>
        <rFont val="Arial"/>
        <family val="2"/>
      </rPr>
      <t xml:space="preserve"> (PADEA)</t>
    </r>
  </si>
  <si>
    <t>de la duréede vie</t>
  </si>
  <si>
    <t xml:space="preserve">Marche à suivre pour établir un budget partiel </t>
  </si>
  <si>
    <t>Définition et objectif d’un budget partiel</t>
  </si>
  <si>
    <t>Fonctionnement et structure du canevas des budgets annuels partiels</t>
  </si>
  <si>
    <r>
      <t xml:space="preserve">d’exercice et de trésorerie </t>
    </r>
    <r>
      <rPr>
        <sz val="11"/>
        <color indexed="8"/>
        <rFont val="Arial"/>
        <family val="2"/>
      </rPr>
      <t>(en fichier Excel)</t>
    </r>
  </si>
  <si>
    <t xml:space="preserve"> =,33h/100m²</t>
  </si>
  <si>
    <t>Placer et enlever tubes et support de tiges</t>
  </si>
  <si>
    <t>Convoyeur de boîtes vers la salle de tri</t>
  </si>
  <si>
    <t>gestion et supervison</t>
  </si>
  <si>
    <t>Niveau de maîtrise de la gestion de la main d'œuvre</t>
  </si>
  <si>
    <t>Valeur de la maîtrise de la gestion de main d'œuvre</t>
  </si>
  <si>
    <t xml:space="preserve"> **  $ /100 m²</t>
  </si>
  <si>
    <t>*  Le coût des intérêts sur capital est déterminé par la formule du taux de rendement simple calculé sur la période d'amortissement                et avec un versement par année.
** Les $/100m² pour les tâches sont ajustés selon le niveau de maîtrise de la gestion de la main d'oeuvre .</t>
  </si>
  <si>
    <r>
      <t>h/100 m</t>
    </r>
    <r>
      <rPr>
        <sz val="11"/>
        <rFont val="Calibri"/>
        <family val="2"/>
      </rPr>
      <t>²</t>
    </r>
  </si>
  <si>
    <r>
      <t>h/100 m</t>
    </r>
    <r>
      <rPr>
        <b/>
        <sz val="11"/>
        <rFont val="Calibri"/>
        <family val="2"/>
      </rPr>
      <t>²</t>
    </r>
  </si>
  <si>
    <r>
      <t>$/100 m</t>
    </r>
    <r>
      <rPr>
        <b/>
        <sz val="11"/>
        <rFont val="Calibri"/>
        <family val="2"/>
      </rPr>
      <t>²</t>
    </r>
  </si>
  <si>
    <t xml:space="preserve">   </t>
  </si>
  <si>
    <t xml:space="preserve"> Quantité de produit à traiter (tonnes)</t>
  </si>
  <si>
    <r>
      <t>Rendement en kilogrammes par mettre carré (kg/m</t>
    </r>
    <r>
      <rPr>
        <b/>
        <sz val="10"/>
        <rFont val="Calibri"/>
        <family val="2"/>
      </rPr>
      <t>²)</t>
    </r>
  </si>
  <si>
    <r>
      <t>Rendement en kilogrammes par mettre carré (kg/m</t>
    </r>
    <r>
      <rPr>
        <sz val="10"/>
        <rFont val="Calibri"/>
        <family val="2"/>
      </rPr>
      <t>²)</t>
    </r>
  </si>
  <si>
    <t>Broche de transition pour l'abaissage</t>
  </si>
  <si>
    <t>Transpalette</t>
  </si>
  <si>
    <t>Frais d'opérations et d'entretien 3%</t>
  </si>
  <si>
    <t>Chariot d'outils spécialisés</t>
  </si>
  <si>
    <t>PRI      ans</t>
  </si>
  <si>
    <t>Sommaire des périodes de récupération de l'investissement</t>
  </si>
  <si>
    <t>PRI</t>
  </si>
  <si>
    <t>mois d'utilisation de la serre pour la culture</t>
  </si>
  <si>
    <t>Taux horaire de la main d'œuvre</t>
  </si>
  <si>
    <t>Investissement requis $</t>
  </si>
  <si>
    <t>Tomates beefsteak</t>
  </si>
  <si>
    <t>Position des tubes perforés et supports de tiges</t>
  </si>
  <si>
    <t>Main d'œuvre tubes</t>
  </si>
  <si>
    <t>Main d'œuvre support</t>
  </si>
  <si>
    <r>
      <t>Rendement en kilogramme par mettre carré (kg/m</t>
    </r>
    <r>
      <rPr>
        <sz val="10"/>
        <rFont val="Calibri"/>
        <family val="2"/>
      </rPr>
      <t>²)</t>
    </r>
  </si>
  <si>
    <t>Table de travail salle de classement</t>
  </si>
  <si>
    <t>Portion imputable à la maîtrise de la gestion                de la main d'œuvre</t>
  </si>
  <si>
    <t>Classeuse usagée pour le calibre</t>
  </si>
</sst>
</file>

<file path=xl/styles.xml><?xml version="1.0" encoding="utf-8"?>
<styleSheet xmlns="http://schemas.openxmlformats.org/spreadsheetml/2006/main">
  <numFmts count="6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[$$-C0C]_-"/>
    <numFmt numFmtId="173" formatCode="0.0"/>
    <numFmt numFmtId="174" formatCode="#,##0.00\ [$$-C0C]"/>
    <numFmt numFmtId="175" formatCode="#,##0.0\ [$$-C0C]"/>
    <numFmt numFmtId="176" formatCode="#,##0\ [$$-C0C]"/>
    <numFmt numFmtId="177" formatCode="dd/mm/yyyy"/>
    <numFmt numFmtId="178" formatCode="0.000"/>
    <numFmt numFmtId="179" formatCode="_ * #,##0.0_)\ &quot;$&quot;_ ;_ * \(#,##0.0\)\ &quot;$&quot;_ ;_ * &quot;-&quot;??_)\ &quot;$&quot;_ ;_ @_ "/>
    <numFmt numFmtId="180" formatCode="_ * #,##0_)\ &quot;$&quot;_ ;_ * \(#,##0\)\ &quot;$&quot;_ ;_ * &quot;-&quot;??_)\ &quot;$&quot;_ ;_ @_ "/>
    <numFmt numFmtId="181" formatCode="0.0000000"/>
    <numFmt numFmtId="182" formatCode="0.000000"/>
    <numFmt numFmtId="183" formatCode="0.00000"/>
    <numFmt numFmtId="184" formatCode="0.0000"/>
    <numFmt numFmtId="185" formatCode="0,&quot;ans&quot;"/>
    <numFmt numFmtId="186" formatCode="0,&quot;  ans&quot;"/>
    <numFmt numFmtId="187" formatCode="0,&quot; ans&quot;"/>
    <numFmt numFmtId="188" formatCode="_ * #,##0_)\ &quot;ans&quot;_ ;_ * \(#,##0\)\ &quot;ans&quot;_ ;_ * &quot;-&quot;_)\ &quot;ans&quot;_ ;_ @_ "/>
    <numFmt numFmtId="189" formatCode="#,##0.0\ &quot;$&quot;_);[Red]\(#,##0.0\ &quot;$&quot;\)"/>
    <numFmt numFmtId="190" formatCode="_ * #,##0_)\ &quot;m²&quot;_ ;_ * \(#,##0\)\ &quot;m²&quot;_ ;_ * &quot;-&quot;_)\ &quot;m²&quot;_ ;_ @_ "/>
    <numFmt numFmtId="191" formatCode="#,##0.0\ [$$-C0C]_-"/>
    <numFmt numFmtId="192" formatCode="#,##0.00\ [$$-C0C]_-"/>
    <numFmt numFmtId="193" formatCode="_ * #,##0.000_)\ &quot;$&quot;_ ;_ * \(#,##0.000\)\ &quot;$&quot;_ ;_ * &quot;-&quot;??_)\ &quot;$&quot;_ ;_ @_ "/>
    <numFmt numFmtId="194" formatCode="0.0%"/>
    <numFmt numFmtId="195" formatCode="_ * #,##0.0_)\ &quot;ans&quot;_ ;_ * \(#,##0.0\)\ &quot;ans&quot;_ ;_ * &quot;-&quot;_)\ &quot;ans&quot;_ ;_ @_ "/>
    <numFmt numFmtId="196" formatCode="#,##0.0"/>
    <numFmt numFmtId="197" formatCode="#,##0_);\(#,##0\)"/>
    <numFmt numFmtId="198" formatCode="#,##0\ &quot;$&quot;"/>
    <numFmt numFmtId="199" formatCode="#,##0\ _$"/>
    <numFmt numFmtId="200" formatCode="#,##0.000\ &quot;$&quot;_);[Red]\(#,##0.000\ &quot;$&quot;\)"/>
    <numFmt numFmtId="201" formatCode="#,##0.0000\ &quot;$&quot;_);[Red]\(#,##0.0000\ &quot;$&quot;\)"/>
    <numFmt numFmtId="202" formatCode="_ * #,##0_)\ &quot;t&quot;_ ;_ * \(#,##0\)\ &quot;t&quot;_ ;_ * &quot;-&quot;_)\ &quot;t&quot;_ ;_ @_ "/>
    <numFmt numFmtId="203" formatCode="_ * #,##0.0_)\ _$_ ;_ * \(#,##0.0\)\ _$_ ;_ * &quot;-&quot;?_)\ _$_ ;_ @_ "/>
    <numFmt numFmtId="204" formatCode="_ * #,##0.0_)\ &quot;t&quot;_ ;_ * \(#,##0.0\)\ &quot;t&quot;_ ;_ * &quot;-&quot;_)\ &quot;t&quot;_ ;_ @_ "/>
    <numFmt numFmtId="205" formatCode="_ * #,##0.00_)\ &quot;t&quot;_ ;_ * \(#,##0.00\)\ &quot;t&quot;_ ;_ * &quot;-&quot;_)\ &quot;t&quot;_ ;_ @_ "/>
    <numFmt numFmtId="206" formatCode="&quot;Économie de maind'ouvre sur &quot;\&amp;\D\8"/>
    <numFmt numFmtId="207" formatCode="#,##0.000\ [$$-C0C]"/>
    <numFmt numFmtId="208" formatCode="0.0\_%"/>
    <numFmt numFmtId="209" formatCode="0.0\ &quot; %&quot;"/>
    <numFmt numFmtId="210" formatCode="&quot;Vrai&quot;;&quot;Vrai&quot;;&quot;Faux&quot;"/>
    <numFmt numFmtId="211" formatCode="&quot;Actif&quot;;&quot;Actif&quot;;&quot;Inactif&quot;"/>
    <numFmt numFmtId="212" formatCode="[$€-2]\ #,##0.00_);[Red]\([$€-2]\ #,##0.00\)"/>
    <numFmt numFmtId="213" formatCode="0.0_)\ &quot;mois&quot;;_ * \(0.0\)\ &quot;mois&quot;;_ * &quot;-&quot;\)\ &quot;mois&quot;;_ @_ "/>
    <numFmt numFmtId="214" formatCode="_ * #,##0.00_)\ &quot;$&quot;_ ;_ * \(#,##0.00\)\ &quot;$&quot;_ ;_ * &quot;&quot;??_)\ _ ;_ @_ "/>
    <numFmt numFmtId="215" formatCode="0.0_);\(0.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color indexed="8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b/>
      <sz val="10"/>
      <name val="Calibri"/>
      <family val="2"/>
    </font>
    <font>
      <b/>
      <sz val="18"/>
      <color indexed="8"/>
      <name val="Arial"/>
      <family val="2"/>
    </font>
    <font>
      <b/>
      <sz val="15"/>
      <name val="Arial"/>
      <family val="2"/>
    </font>
    <font>
      <b/>
      <sz val="16"/>
      <color indexed="8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 tint="-0.2499399930238723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1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0" borderId="0" applyNumberFormat="0" applyBorder="0" applyAlignment="0" applyProtection="0"/>
    <xf numFmtId="9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58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0" xfId="0" applyFont="1" applyFill="1" applyBorder="1" applyAlignment="1">
      <alignment horizontal="left" indent="1"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left" inden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3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13" fillId="34" borderId="14" xfId="0" applyNumberFormat="1" applyFont="1" applyFill="1" applyBorder="1" applyAlignment="1">
      <alignment/>
    </xf>
    <xf numFmtId="1" fontId="3" fillId="34" borderId="1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10" fillId="34" borderId="11" xfId="0" applyFont="1" applyFill="1" applyBorder="1" applyAlignment="1" quotePrefix="1">
      <alignment horizontal="center" vertical="center"/>
    </xf>
    <xf numFmtId="0" fontId="0" fillId="33" borderId="11" xfId="0" applyFill="1" applyBorder="1" applyAlignment="1">
      <alignment/>
    </xf>
    <xf numFmtId="1" fontId="3" fillId="33" borderId="11" xfId="0" applyNumberFormat="1" applyFont="1" applyFill="1" applyBorder="1" applyAlignment="1">
      <alignment horizontal="right"/>
    </xf>
    <xf numFmtId="1" fontId="6" fillId="33" borderId="11" xfId="49" applyNumberFormat="1" applyFont="1" applyFill="1" applyBorder="1" applyAlignment="1">
      <alignment/>
    </xf>
    <xf numFmtId="172" fontId="4" fillId="33" borderId="11" xfId="0" applyNumberFormat="1" applyFont="1" applyFill="1" applyBorder="1" applyAlignment="1">
      <alignment horizontal="right"/>
    </xf>
    <xf numFmtId="172" fontId="5" fillId="34" borderId="15" xfId="0" applyNumberFormat="1" applyFont="1" applyFill="1" applyBorder="1" applyAlignment="1">
      <alignment horizontal="right"/>
    </xf>
    <xf numFmtId="1" fontId="4" fillId="33" borderId="11" xfId="0" applyNumberFormat="1" applyFont="1" applyFill="1" applyBorder="1" applyAlignment="1">
      <alignment horizontal="right"/>
    </xf>
    <xf numFmtId="1" fontId="8" fillId="34" borderId="15" xfId="0" applyNumberFormat="1" applyFont="1" applyFill="1" applyBorder="1" applyAlignment="1">
      <alignment/>
    </xf>
    <xf numFmtId="172" fontId="11" fillId="34" borderId="15" xfId="0" applyNumberFormat="1" applyFont="1" applyFill="1" applyBorder="1" applyAlignment="1">
      <alignment horizontal="right"/>
    </xf>
    <xf numFmtId="0" fontId="20" fillId="34" borderId="0" xfId="0" applyFont="1" applyFill="1" applyBorder="1" applyAlignment="1" quotePrefix="1">
      <alignment horizontal="left" vertical="center"/>
    </xf>
    <xf numFmtId="0" fontId="7" fillId="34" borderId="16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8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19" fillId="34" borderId="19" xfId="0" applyFont="1" applyFill="1" applyBorder="1" applyAlignment="1">
      <alignment horizontal="left"/>
    </xf>
    <xf numFmtId="0" fontId="15" fillId="33" borderId="17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left" indent="1"/>
    </xf>
    <xf numFmtId="0" fontId="4" fillId="33" borderId="17" xfId="0" applyFont="1" applyFill="1" applyBorder="1" applyAlignment="1">
      <alignment/>
    </xf>
    <xf numFmtId="0" fontId="16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21" fillId="34" borderId="19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4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3" fillId="33" borderId="17" xfId="0" applyFont="1" applyFill="1" applyBorder="1" applyAlignment="1" quotePrefix="1">
      <alignment horizontal="left"/>
    </xf>
    <xf numFmtId="0" fontId="3" fillId="33" borderId="0" xfId="0" applyFont="1" applyFill="1" applyBorder="1" applyAlignment="1" quotePrefix="1">
      <alignment horizontal="left"/>
    </xf>
    <xf numFmtId="0" fontId="2" fillId="34" borderId="20" xfId="0" applyFont="1" applyFill="1" applyBorder="1" applyAlignment="1">
      <alignment horizontal="left"/>
    </xf>
    <xf numFmtId="0" fontId="3" fillId="33" borderId="0" xfId="0" applyFont="1" applyFill="1" applyBorder="1" applyAlignment="1" quotePrefix="1">
      <alignment horizontal="right"/>
    </xf>
    <xf numFmtId="0" fontId="7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176" fontId="10" fillId="34" borderId="24" xfId="0" applyNumberFormat="1" applyFont="1" applyFill="1" applyBorder="1" applyAlignment="1">
      <alignment horizontal="right"/>
    </xf>
    <xf numFmtId="44" fontId="4" fillId="33" borderId="11" xfId="49" applyFont="1" applyFill="1" applyBorder="1" applyAlignment="1">
      <alignment horizontal="right"/>
    </xf>
    <xf numFmtId="0" fontId="3" fillId="33" borderId="17" xfId="0" applyFont="1" applyFill="1" applyBorder="1" applyAlignment="1">
      <alignment horizontal="left" indent="1"/>
    </xf>
    <xf numFmtId="0" fontId="19" fillId="34" borderId="16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 indent="1"/>
    </xf>
    <xf numFmtId="0" fontId="4" fillId="33" borderId="26" xfId="0" applyFont="1" applyFill="1" applyBorder="1" applyAlignment="1">
      <alignment horizontal="left" indent="1"/>
    </xf>
    <xf numFmtId="0" fontId="0" fillId="0" borderId="0" xfId="0" applyFill="1" applyAlignment="1">
      <alignment/>
    </xf>
    <xf numFmtId="6" fontId="0" fillId="0" borderId="0" xfId="0" applyNumberFormat="1" applyAlignment="1">
      <alignment/>
    </xf>
    <xf numFmtId="0" fontId="14" fillId="35" borderId="20" xfId="0" applyFont="1" applyFill="1" applyBorder="1" applyAlignment="1">
      <alignment horizontal="right" vertical="center"/>
    </xf>
    <xf numFmtId="8" fontId="0" fillId="0" borderId="0" xfId="0" applyNumberFormat="1" applyAlignment="1">
      <alignment/>
    </xf>
    <xf numFmtId="0" fontId="4" fillId="0" borderId="0" xfId="0" applyFont="1" applyBorder="1" applyAlignment="1">
      <alignment horizontal="left" indent="1"/>
    </xf>
    <xf numFmtId="0" fontId="3" fillId="33" borderId="17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 indent="1"/>
    </xf>
    <xf numFmtId="0" fontId="20" fillId="34" borderId="16" xfId="0" applyFont="1" applyFill="1" applyBorder="1" applyAlignment="1" quotePrefix="1">
      <alignment horizontal="left" vertical="center"/>
    </xf>
    <xf numFmtId="0" fontId="10" fillId="34" borderId="13" xfId="0" applyFont="1" applyFill="1" applyBorder="1" applyAlignment="1" quotePrefix="1">
      <alignment horizontal="center" vertical="center"/>
    </xf>
    <xf numFmtId="0" fontId="7" fillId="33" borderId="18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indent="1"/>
    </xf>
    <xf numFmtId="44" fontId="3" fillId="33" borderId="12" xfId="49" applyFont="1" applyFill="1" applyBorder="1" applyAlignment="1">
      <alignment horizontal="right"/>
    </xf>
    <xf numFmtId="0" fontId="7" fillId="34" borderId="27" xfId="0" applyFont="1" applyFill="1" applyBorder="1" applyAlignment="1">
      <alignment horizontal="left"/>
    </xf>
    <xf numFmtId="0" fontId="7" fillId="34" borderId="28" xfId="0" applyFont="1" applyFill="1" applyBorder="1" applyAlignment="1">
      <alignment horizontal="left"/>
    </xf>
    <xf numFmtId="192" fontId="2" fillId="34" borderId="29" xfId="0" applyNumberFormat="1" applyFont="1" applyFill="1" applyBorder="1" applyAlignment="1">
      <alignment horizontal="right" vertical="center"/>
    </xf>
    <xf numFmtId="0" fontId="3" fillId="33" borderId="30" xfId="0" applyFont="1" applyFill="1" applyBorder="1" applyAlignment="1">
      <alignment/>
    </xf>
    <xf numFmtId="192" fontId="4" fillId="33" borderId="31" xfId="0" applyNumberFormat="1" applyFont="1" applyFill="1" applyBorder="1" applyAlignment="1">
      <alignment horizontal="right"/>
    </xf>
    <xf numFmtId="0" fontId="0" fillId="33" borderId="30" xfId="0" applyFill="1" applyBorder="1" applyAlignment="1">
      <alignment/>
    </xf>
    <xf numFmtId="44" fontId="4" fillId="33" borderId="32" xfId="49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192" fontId="4" fillId="33" borderId="0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right" vertical="center" indent="1"/>
    </xf>
    <xf numFmtId="0" fontId="1" fillId="33" borderId="13" xfId="0" applyFont="1" applyFill="1" applyBorder="1" applyAlignment="1">
      <alignment horizontal="right" vertical="center" indent="1"/>
    </xf>
    <xf numFmtId="0" fontId="7" fillId="33" borderId="16" xfId="0" applyFont="1" applyFill="1" applyBorder="1" applyAlignment="1">
      <alignment horizontal="left" indent="1"/>
    </xf>
    <xf numFmtId="2" fontId="4" fillId="33" borderId="13" xfId="49" applyNumberFormat="1" applyFont="1" applyFill="1" applyBorder="1" applyAlignment="1">
      <alignment horizontal="right" indent="1"/>
    </xf>
    <xf numFmtId="0" fontId="7" fillId="34" borderId="16" xfId="0" applyFont="1" applyFill="1" applyBorder="1" applyAlignment="1">
      <alignment horizontal="left" vertical="center"/>
    </xf>
    <xf numFmtId="192" fontId="2" fillId="34" borderId="13" xfId="0" applyNumberFormat="1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horizontal="left" vertical="center"/>
    </xf>
    <xf numFmtId="0" fontId="21" fillId="34" borderId="16" xfId="0" applyFont="1" applyFill="1" applyBorder="1" applyAlignment="1">
      <alignment horizontal="left" vertical="center"/>
    </xf>
    <xf numFmtId="2" fontId="81" fillId="0" borderId="0" xfId="0" applyNumberFormat="1" applyFont="1" applyFill="1" applyAlignment="1">
      <alignment horizontal="center"/>
    </xf>
    <xf numFmtId="8" fontId="4" fillId="33" borderId="11" xfId="49" applyNumberFormat="1" applyFont="1" applyFill="1" applyBorder="1" applyAlignment="1">
      <alignment horizontal="right"/>
    </xf>
    <xf numFmtId="0" fontId="2" fillId="33" borderId="33" xfId="0" applyFont="1" applyFill="1" applyBorder="1" applyAlignment="1">
      <alignment horizontal="right" vertical="center" indent="1"/>
    </xf>
    <xf numFmtId="44" fontId="2" fillId="33" borderId="12" xfId="49" applyFont="1" applyFill="1" applyBorder="1" applyAlignment="1">
      <alignment horizontal="right"/>
    </xf>
    <xf numFmtId="192" fontId="2" fillId="0" borderId="29" xfId="0" applyNumberFormat="1" applyFont="1" applyFill="1" applyBorder="1" applyAlignment="1">
      <alignment horizontal="right" vertical="center"/>
    </xf>
    <xf numFmtId="192" fontId="2" fillId="0" borderId="34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top" wrapText="1"/>
    </xf>
    <xf numFmtId="17" fontId="17" fillId="0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right" indent="1"/>
    </xf>
    <xf numFmtId="2" fontId="4" fillId="33" borderId="0" xfId="0" applyNumberFormat="1" applyFont="1" applyFill="1" applyBorder="1" applyAlignment="1">
      <alignment horizontal="right" indent="1"/>
    </xf>
    <xf numFmtId="1" fontId="13" fillId="0" borderId="0" xfId="0" applyNumberFormat="1" applyFont="1" applyFill="1" applyBorder="1" applyAlignment="1">
      <alignment/>
    </xf>
    <xf numFmtId="180" fontId="2" fillId="35" borderId="0" xfId="49" applyNumberFormat="1" applyFont="1" applyFill="1" applyBorder="1" applyAlignment="1">
      <alignment horizontal="right"/>
    </xf>
    <xf numFmtId="180" fontId="2" fillId="0" borderId="0" xfId="49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indent="1"/>
    </xf>
    <xf numFmtId="0" fontId="4" fillId="33" borderId="35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 indent="1"/>
    </xf>
    <xf numFmtId="0" fontId="24" fillId="33" borderId="17" xfId="0" applyFont="1" applyFill="1" applyBorder="1" applyAlignment="1">
      <alignment horizontal="left" indent="1"/>
    </xf>
    <xf numFmtId="1" fontId="13" fillId="0" borderId="11" xfId="0" applyNumberFormat="1" applyFont="1" applyFill="1" applyBorder="1" applyAlignment="1">
      <alignment/>
    </xf>
    <xf numFmtId="180" fontId="13" fillId="0" borderId="33" xfId="49" applyNumberFormat="1" applyFont="1" applyFill="1" applyBorder="1" applyAlignment="1">
      <alignment/>
    </xf>
    <xf numFmtId="0" fontId="7" fillId="0" borderId="36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 vertical="center"/>
    </xf>
    <xf numFmtId="0" fontId="84" fillId="0" borderId="0" xfId="0" applyFont="1" applyAlignment="1">
      <alignment/>
    </xf>
    <xf numFmtId="0" fontId="84" fillId="33" borderId="26" xfId="0" applyFont="1" applyFill="1" applyBorder="1" applyAlignment="1">
      <alignment/>
    </xf>
    <xf numFmtId="0" fontId="84" fillId="33" borderId="32" xfId="0" applyFont="1" applyFill="1" applyBorder="1" applyAlignment="1">
      <alignment/>
    </xf>
    <xf numFmtId="0" fontId="84" fillId="33" borderId="0" xfId="0" applyFont="1" applyFill="1" applyBorder="1" applyAlignment="1">
      <alignment/>
    </xf>
    <xf numFmtId="0" fontId="28" fillId="33" borderId="38" xfId="0" applyFont="1" applyFill="1" applyBorder="1" applyAlignment="1">
      <alignment horizontal="left" indent="1"/>
    </xf>
    <xf numFmtId="2" fontId="28" fillId="0" borderId="25" xfId="0" applyNumberFormat="1" applyFont="1" applyFill="1" applyBorder="1" applyAlignment="1">
      <alignment horizontal="right" indent="1"/>
    </xf>
    <xf numFmtId="2" fontId="28" fillId="33" borderId="26" xfId="0" applyNumberFormat="1" applyFont="1" applyFill="1" applyBorder="1" applyAlignment="1">
      <alignment horizontal="right" indent="1"/>
    </xf>
    <xf numFmtId="2" fontId="28" fillId="33" borderId="32" xfId="0" applyNumberFormat="1" applyFont="1" applyFill="1" applyBorder="1" applyAlignment="1">
      <alignment horizontal="right" indent="1"/>
    </xf>
    <xf numFmtId="2" fontId="28" fillId="33" borderId="25" xfId="0" applyNumberFormat="1" applyFont="1" applyFill="1" applyBorder="1" applyAlignment="1">
      <alignment horizontal="right" indent="1"/>
    </xf>
    <xf numFmtId="0" fontId="2" fillId="33" borderId="39" xfId="0" applyFont="1" applyFill="1" applyBorder="1" applyAlignment="1">
      <alignment horizontal="right" vertical="center" indent="1"/>
    </xf>
    <xf numFmtId="2" fontId="28" fillId="33" borderId="40" xfId="0" applyNumberFormat="1" applyFont="1" applyFill="1" applyBorder="1" applyAlignment="1">
      <alignment horizontal="right" vertical="center" indent="1"/>
    </xf>
    <xf numFmtId="2" fontId="28" fillId="33" borderId="39" xfId="0" applyNumberFormat="1" applyFont="1" applyFill="1" applyBorder="1" applyAlignment="1">
      <alignment horizontal="right" indent="1"/>
    </xf>
    <xf numFmtId="0" fontId="31" fillId="33" borderId="21" xfId="0" applyFont="1" applyFill="1" applyBorder="1" applyAlignment="1">
      <alignment horizontal="left" vertical="center" indent="1"/>
    </xf>
    <xf numFmtId="2" fontId="28" fillId="33" borderId="34" xfId="0" applyNumberFormat="1" applyFont="1" applyFill="1" applyBorder="1" applyAlignment="1">
      <alignment horizontal="right" vertical="center" indent="1"/>
    </xf>
    <xf numFmtId="3" fontId="2" fillId="0" borderId="0" xfId="49" applyNumberFormat="1" applyFont="1" applyFill="1" applyBorder="1" applyAlignment="1">
      <alignment horizontal="right"/>
    </xf>
    <xf numFmtId="195" fontId="2" fillId="36" borderId="41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2"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28" fillId="0" borderId="25" xfId="0" applyNumberFormat="1" applyFont="1" applyFill="1" applyBorder="1" applyAlignment="1">
      <alignment horizontal="right" indent="1"/>
    </xf>
    <xf numFmtId="3" fontId="84" fillId="0" borderId="0" xfId="0" applyNumberFormat="1" applyFont="1" applyAlignment="1">
      <alignment/>
    </xf>
    <xf numFmtId="173" fontId="84" fillId="0" borderId="0" xfId="0" applyNumberFormat="1" applyFont="1" applyAlignment="1">
      <alignment/>
    </xf>
    <xf numFmtId="174" fontId="10" fillId="34" borderId="42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indent="1"/>
    </xf>
    <xf numFmtId="0" fontId="7" fillId="34" borderId="19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left" indent="1"/>
    </xf>
    <xf numFmtId="8" fontId="4" fillId="0" borderId="11" xfId="49" applyNumberFormat="1" applyFont="1" applyFill="1" applyBorder="1" applyAlignment="1">
      <alignment horizontal="right"/>
    </xf>
    <xf numFmtId="206" fontId="15" fillId="33" borderId="17" xfId="0" applyNumberFormat="1" applyFont="1" applyFill="1" applyBorder="1" applyAlignment="1">
      <alignment/>
    </xf>
    <xf numFmtId="173" fontId="3" fillId="9" borderId="33" xfId="0" applyNumberFormat="1" applyFont="1" applyFill="1" applyBorder="1" applyAlignment="1" applyProtection="1">
      <alignment horizontal="right" vertical="center" indent="1"/>
      <protection locked="0"/>
    </xf>
    <xf numFmtId="6" fontId="4" fillId="9" borderId="32" xfId="0" applyNumberFormat="1" applyFont="1" applyFill="1" applyBorder="1" applyAlignment="1" applyProtection="1">
      <alignment horizontal="right" indent="1"/>
      <protection locked="0"/>
    </xf>
    <xf numFmtId="188" fontId="4" fillId="9" borderId="32" xfId="0" applyNumberFormat="1" applyFont="1" applyFill="1" applyBorder="1" applyAlignment="1" applyProtection="1">
      <alignment horizontal="right" indent="1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left" indent="1"/>
      <protection locked="0"/>
    </xf>
    <xf numFmtId="44" fontId="4" fillId="33" borderId="32" xfId="49" applyFont="1" applyFill="1" applyBorder="1" applyAlignment="1" applyProtection="1">
      <alignment horizontal="right" indent="1"/>
      <protection locked="0"/>
    </xf>
    <xf numFmtId="192" fontId="2" fillId="34" borderId="13" xfId="0" applyNumberFormat="1" applyFont="1" applyFill="1" applyBorder="1" applyAlignment="1" applyProtection="1">
      <alignment horizontal="right" vertical="center"/>
      <protection locked="0"/>
    </xf>
    <xf numFmtId="8" fontId="4" fillId="9" borderId="11" xfId="49" applyNumberFormat="1" applyFont="1" applyFill="1" applyBorder="1" applyAlignment="1" applyProtection="1">
      <alignment horizontal="right"/>
      <protection locked="0"/>
    </xf>
    <xf numFmtId="0" fontId="3" fillId="33" borderId="25" xfId="0" applyFont="1" applyFill="1" applyBorder="1" applyAlignment="1" applyProtection="1">
      <alignment horizontal="right" vertical="center" indent="1"/>
      <protection locked="0"/>
    </xf>
    <xf numFmtId="0" fontId="15" fillId="9" borderId="17" xfId="0" applyFont="1" applyFill="1" applyBorder="1" applyAlignment="1" applyProtection="1">
      <alignment/>
      <protection locked="0"/>
    </xf>
    <xf numFmtId="0" fontId="15" fillId="9" borderId="0" xfId="0" applyFont="1" applyFill="1" applyBorder="1" applyAlignment="1" applyProtection="1">
      <alignment/>
      <protection locked="0"/>
    </xf>
    <xf numFmtId="44" fontId="4" fillId="9" borderId="11" xfId="49" applyFont="1" applyFill="1" applyBorder="1" applyAlignment="1" applyProtection="1">
      <alignment horizontal="right"/>
      <protection locked="0"/>
    </xf>
    <xf numFmtId="0" fontId="4" fillId="9" borderId="0" xfId="0" applyFont="1" applyFill="1" applyBorder="1" applyAlignment="1" applyProtection="1">
      <alignment horizontal="left" indent="1"/>
      <protection locked="0"/>
    </xf>
    <xf numFmtId="44" fontId="4" fillId="9" borderId="43" xfId="49" applyFont="1" applyFill="1" applyBorder="1" applyAlignment="1" applyProtection="1">
      <alignment horizontal="right"/>
      <protection locked="0"/>
    </xf>
    <xf numFmtId="0" fontId="0" fillId="9" borderId="0" xfId="0" applyFont="1" applyFill="1" applyBorder="1" applyAlignment="1" applyProtection="1">
      <alignment horizontal="left" indent="1"/>
      <protection locked="0"/>
    </xf>
    <xf numFmtId="0" fontId="4" fillId="9" borderId="17" xfId="0" applyFont="1" applyFill="1" applyBorder="1" applyAlignment="1">
      <alignment horizontal="left" indent="1"/>
    </xf>
    <xf numFmtId="0" fontId="4" fillId="9" borderId="17" xfId="0" applyFont="1" applyFill="1" applyBorder="1" applyAlignment="1" applyProtection="1">
      <alignment horizontal="left" indent="1"/>
      <protection locked="0"/>
    </xf>
    <xf numFmtId="44" fontId="4" fillId="9" borderId="32" xfId="49" applyFont="1" applyFill="1" applyBorder="1" applyAlignment="1" applyProtection="1">
      <alignment horizontal="right" indent="1"/>
      <protection locked="0"/>
    </xf>
    <xf numFmtId="0" fontId="15" fillId="9" borderId="44" xfId="0" applyFont="1" applyFill="1" applyBorder="1" applyAlignment="1" applyProtection="1">
      <alignment/>
      <protection locked="0"/>
    </xf>
    <xf numFmtId="0" fontId="15" fillId="9" borderId="45" xfId="0" applyFont="1" applyFill="1" applyBorder="1" applyAlignment="1" applyProtection="1">
      <alignment/>
      <protection locked="0"/>
    </xf>
    <xf numFmtId="8" fontId="4" fillId="9" borderId="43" xfId="49" applyNumberFormat="1" applyFont="1" applyFill="1" applyBorder="1" applyAlignment="1" applyProtection="1">
      <alignment horizontal="right"/>
      <protection locked="0"/>
    </xf>
    <xf numFmtId="0" fontId="0" fillId="9" borderId="45" xfId="0" applyFill="1" applyBorder="1" applyAlignment="1" applyProtection="1">
      <alignment/>
      <protection locked="0"/>
    </xf>
    <xf numFmtId="0" fontId="7" fillId="0" borderId="46" xfId="0" applyFont="1" applyFill="1" applyBorder="1" applyAlignment="1">
      <alignment horizontal="left"/>
    </xf>
    <xf numFmtId="205" fontId="4" fillId="0" borderId="47" xfId="0" applyNumberFormat="1" applyFont="1" applyFill="1" applyBorder="1" applyAlignment="1" applyProtection="1">
      <alignment horizontal="right" indent="1"/>
      <protection/>
    </xf>
    <xf numFmtId="0" fontId="0" fillId="0" borderId="48" xfId="0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207" fontId="10" fillId="0" borderId="0" xfId="0" applyNumberFormat="1" applyFont="1" applyFill="1" applyBorder="1" applyAlignment="1">
      <alignment horizontal="right" indent="1"/>
    </xf>
    <xf numFmtId="207" fontId="10" fillId="34" borderId="49" xfId="0" applyNumberFormat="1" applyFont="1" applyFill="1" applyBorder="1" applyAlignment="1">
      <alignment horizontal="right" indent="1"/>
    </xf>
    <xf numFmtId="0" fontId="0" fillId="0" borderId="0" xfId="0" applyFill="1" applyAlignment="1">
      <alignment vertical="center"/>
    </xf>
    <xf numFmtId="195" fontId="2" fillId="36" borderId="41" xfId="0" applyNumberFormat="1" applyFont="1" applyFill="1" applyBorder="1" applyAlignment="1" applyProtection="1">
      <alignment horizontal="right" vertical="center" indent="1"/>
      <protection/>
    </xf>
    <xf numFmtId="180" fontId="2" fillId="0" borderId="46" xfId="49" applyNumberFormat="1" applyFont="1" applyFill="1" applyBorder="1" applyAlignment="1" applyProtection="1">
      <alignment horizontal="right"/>
      <protection/>
    </xf>
    <xf numFmtId="180" fontId="2" fillId="0" borderId="48" xfId="49" applyNumberFormat="1" applyFont="1" applyFill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vertical="top" wrapText="1"/>
      <protection/>
    </xf>
    <xf numFmtId="0" fontId="4" fillId="0" borderId="39" xfId="0" applyFont="1" applyBorder="1" applyAlignment="1" applyProtection="1">
      <alignment vertical="center" wrapText="1"/>
      <protection/>
    </xf>
    <xf numFmtId="0" fontId="19" fillId="34" borderId="19" xfId="0" applyFont="1" applyFill="1" applyBorder="1" applyAlignment="1" applyProtection="1">
      <alignment horizontal="left"/>
      <protection/>
    </xf>
    <xf numFmtId="0" fontId="19" fillId="34" borderId="16" xfId="0" applyFont="1" applyFill="1" applyBorder="1" applyAlignment="1" applyProtection="1">
      <alignment horizontal="left"/>
      <protection/>
    </xf>
    <xf numFmtId="0" fontId="10" fillId="34" borderId="50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20" fillId="34" borderId="35" xfId="0" applyFont="1" applyFill="1" applyBorder="1" applyAlignment="1" applyProtection="1" quotePrefix="1">
      <alignment horizontal="left" vertical="center"/>
      <protection/>
    </xf>
    <xf numFmtId="0" fontId="10" fillId="34" borderId="13" xfId="0" applyFont="1" applyFill="1" applyBorder="1" applyAlignment="1" applyProtection="1" quotePrefix="1">
      <alignment horizontal="center" vertical="center"/>
      <protection/>
    </xf>
    <xf numFmtId="0" fontId="7" fillId="33" borderId="44" xfId="0" applyFont="1" applyFill="1" applyBorder="1" applyAlignment="1" applyProtection="1">
      <alignment horizontal="left"/>
      <protection/>
    </xf>
    <xf numFmtId="0" fontId="16" fillId="33" borderId="45" xfId="0" applyFont="1" applyFill="1" applyBorder="1" applyAlignment="1" applyProtection="1">
      <alignment horizontal="left"/>
      <protection/>
    </xf>
    <xf numFmtId="44" fontId="2" fillId="33" borderId="51" xfId="49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7" fillId="33" borderId="52" xfId="0" applyFont="1" applyFill="1" applyBorder="1" applyAlignment="1" applyProtection="1">
      <alignment horizontal="left" indent="1"/>
      <protection/>
    </xf>
    <xf numFmtId="44" fontId="2" fillId="33" borderId="43" xfId="49" applyFont="1" applyFill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1" fillId="34" borderId="27" xfId="0" applyFont="1" applyFill="1" applyBorder="1" applyAlignment="1" applyProtection="1">
      <alignment horizontal="left"/>
      <protection/>
    </xf>
    <xf numFmtId="0" fontId="21" fillId="34" borderId="28" xfId="0" applyFont="1" applyFill="1" applyBorder="1" applyAlignment="1" applyProtection="1">
      <alignment horizontal="left"/>
      <protection/>
    </xf>
    <xf numFmtId="0" fontId="0" fillId="34" borderId="53" xfId="0" applyFill="1" applyBorder="1" applyAlignment="1" applyProtection="1">
      <alignment/>
      <protection/>
    </xf>
    <xf numFmtId="0" fontId="7" fillId="34" borderId="54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0" fontId="4" fillId="33" borderId="55" xfId="0" applyFont="1" applyFill="1" applyBorder="1" applyAlignment="1" applyProtection="1">
      <alignment horizontal="right"/>
      <protection/>
    </xf>
    <xf numFmtId="0" fontId="84" fillId="33" borderId="55" xfId="0" applyFont="1" applyFill="1" applyBorder="1" applyAlignment="1" applyProtection="1">
      <alignment horizontal="right"/>
      <protection/>
    </xf>
    <xf numFmtId="0" fontId="84" fillId="33" borderId="0" xfId="0" applyFont="1" applyFill="1" applyBorder="1" applyAlignment="1" applyProtection="1">
      <alignment horizontal="right"/>
      <protection/>
    </xf>
    <xf numFmtId="0" fontId="84" fillId="33" borderId="41" xfId="0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 horizontal="right" vertical="center" indent="1"/>
      <protection/>
    </xf>
    <xf numFmtId="4" fontId="0" fillId="33" borderId="0" xfId="0" applyNumberFormat="1" applyFill="1" applyBorder="1" applyAlignment="1" applyProtection="1">
      <alignment horizontal="right" vertical="center" indent="1"/>
      <protection/>
    </xf>
    <xf numFmtId="0" fontId="4" fillId="0" borderId="56" xfId="0" applyFont="1" applyFill="1" applyBorder="1" applyAlignment="1" applyProtection="1">
      <alignment horizontal="right" vertical="center" indent="1"/>
      <protection/>
    </xf>
    <xf numFmtId="0" fontId="2" fillId="33" borderId="55" xfId="0" applyFont="1" applyFill="1" applyBorder="1" applyAlignment="1" applyProtection="1">
      <alignment horizontal="right" vertical="center" indent="1"/>
      <protection/>
    </xf>
    <xf numFmtId="192" fontId="2" fillId="0" borderId="57" xfId="0" applyNumberFormat="1" applyFont="1" applyFill="1" applyBorder="1" applyAlignment="1" applyProtection="1">
      <alignment horizontal="right" vertical="center"/>
      <protection/>
    </xf>
    <xf numFmtId="4" fontId="3" fillId="33" borderId="25" xfId="49" applyNumberFormat="1" applyFont="1" applyFill="1" applyBorder="1" applyAlignment="1" applyProtection="1">
      <alignment horizontal="right" indent="1"/>
      <protection/>
    </xf>
    <xf numFmtId="0" fontId="3" fillId="33" borderId="58" xfId="0" applyFont="1" applyFill="1" applyBorder="1" applyAlignment="1" applyProtection="1">
      <alignment horizontal="left" indent="1"/>
      <protection/>
    </xf>
    <xf numFmtId="192" fontId="2" fillId="0" borderId="41" xfId="0" applyNumberFormat="1" applyFont="1" applyFill="1" applyBorder="1" applyAlignment="1" applyProtection="1">
      <alignment horizontal="right" vertical="center"/>
      <protection/>
    </xf>
    <xf numFmtId="192" fontId="2" fillId="34" borderId="57" xfId="0" applyNumberFormat="1" applyFont="1" applyFill="1" applyBorder="1" applyAlignment="1" applyProtection="1">
      <alignment horizontal="right" vertical="center"/>
      <protection/>
    </xf>
    <xf numFmtId="192" fontId="2" fillId="34" borderId="15" xfId="0" applyNumberFormat="1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left"/>
      <protection/>
    </xf>
    <xf numFmtId="192" fontId="2" fillId="0" borderId="28" xfId="0" applyNumberFormat="1" applyFont="1" applyFill="1" applyBorder="1" applyAlignment="1" applyProtection="1">
      <alignment horizontal="right" vertical="center"/>
      <protection/>
    </xf>
    <xf numFmtId="180" fontId="13" fillId="0" borderId="45" xfId="49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92" fontId="2" fillId="0" borderId="11" xfId="0" applyNumberFormat="1" applyFont="1" applyFill="1" applyBorder="1" applyAlignment="1" applyProtection="1">
      <alignment horizontal="right" vertical="center"/>
      <protection/>
    </xf>
    <xf numFmtId="174" fontId="10" fillId="34" borderId="41" xfId="0" applyNumberFormat="1" applyFont="1" applyFill="1" applyBorder="1" applyAlignment="1" applyProtection="1">
      <alignment horizontal="right" indent="1"/>
      <protection/>
    </xf>
    <xf numFmtId="174" fontId="10" fillId="0" borderId="11" xfId="0" applyNumberFormat="1" applyFont="1" applyFill="1" applyBorder="1" applyAlignment="1" applyProtection="1">
      <alignment horizontal="right" indent="1"/>
      <protection/>
    </xf>
    <xf numFmtId="0" fontId="7" fillId="34" borderId="20" xfId="0" applyFont="1" applyFill="1" applyBorder="1" applyAlignment="1" applyProtection="1">
      <alignment horizontal="left" vertical="center"/>
      <protection/>
    </xf>
    <xf numFmtId="0" fontId="7" fillId="34" borderId="14" xfId="0" applyFont="1" applyFill="1" applyBorder="1" applyAlignment="1" applyProtection="1">
      <alignment horizontal="left" vertical="center"/>
      <protection/>
    </xf>
    <xf numFmtId="180" fontId="13" fillId="0" borderId="0" xfId="49" applyNumberFormat="1" applyFont="1" applyFill="1" applyBorder="1" applyAlignment="1" applyProtection="1">
      <alignment vertical="center"/>
      <protection/>
    </xf>
    <xf numFmtId="0" fontId="7" fillId="34" borderId="58" xfId="0" applyFont="1" applyFill="1" applyBorder="1" applyAlignment="1" applyProtection="1">
      <alignment horizontal="left" vertical="center"/>
      <protection/>
    </xf>
    <xf numFmtId="190" fontId="2" fillId="0" borderId="59" xfId="0" applyNumberFormat="1" applyFont="1" applyFill="1" applyBorder="1" applyAlignment="1" applyProtection="1">
      <alignment horizontal="right" vertical="center" indent="1"/>
      <protection/>
    </xf>
    <xf numFmtId="205" fontId="28" fillId="0" borderId="34" xfId="0" applyNumberFormat="1" applyFont="1" applyFill="1" applyBorder="1" applyAlignment="1" applyProtection="1">
      <alignment horizontal="right" vertical="center"/>
      <protection/>
    </xf>
    <xf numFmtId="172" fontId="2" fillId="34" borderId="59" xfId="0" applyNumberFormat="1" applyFont="1" applyFill="1" applyBorder="1" applyAlignment="1" applyProtection="1">
      <alignment horizontal="right" vertical="center"/>
      <protection/>
    </xf>
    <xf numFmtId="44" fontId="0" fillId="0" borderId="0" xfId="0" applyNumberFormat="1" applyAlignment="1">
      <alignment/>
    </xf>
    <xf numFmtId="0" fontId="7" fillId="0" borderId="21" xfId="0" applyFont="1" applyFill="1" applyBorder="1" applyAlignment="1">
      <alignment horizontal="left" vertical="center"/>
    </xf>
    <xf numFmtId="2" fontId="2" fillId="0" borderId="40" xfId="0" applyNumberFormat="1" applyFont="1" applyFill="1" applyBorder="1" applyAlignment="1">
      <alignment horizontal="right" vertical="center" indent="1"/>
    </xf>
    <xf numFmtId="195" fontId="2" fillId="36" borderId="34" xfId="0" applyNumberFormat="1" applyFont="1" applyFill="1" applyBorder="1" applyAlignment="1">
      <alignment horizontal="right" vertical="center" indent="1"/>
    </xf>
    <xf numFmtId="180" fontId="2" fillId="0" borderId="60" xfId="49" applyNumberFormat="1" applyFont="1" applyFill="1" applyBorder="1" applyAlignment="1">
      <alignment horizontal="right" indent="1"/>
    </xf>
    <xf numFmtId="44" fontId="28" fillId="0" borderId="60" xfId="49" applyFont="1" applyFill="1" applyBorder="1" applyAlignment="1" applyProtection="1">
      <alignment/>
      <protection locked="0"/>
    </xf>
    <xf numFmtId="190" fontId="28" fillId="0" borderId="59" xfId="0" applyNumberFormat="1" applyFont="1" applyFill="1" applyBorder="1" applyAlignment="1" applyProtection="1">
      <alignment horizontal="right" indent="1"/>
      <protection locked="0"/>
    </xf>
    <xf numFmtId="205" fontId="28" fillId="0" borderId="61" xfId="0" applyNumberFormat="1" applyFont="1" applyFill="1" applyBorder="1" applyAlignment="1" applyProtection="1">
      <alignment horizontal="right" indent="1"/>
      <protection/>
    </xf>
    <xf numFmtId="2" fontId="0" fillId="0" borderId="0" xfId="0" applyNumberFormat="1" applyAlignment="1">
      <alignment/>
    </xf>
    <xf numFmtId="44" fontId="2" fillId="0" borderId="0" xfId="49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2" fontId="28" fillId="0" borderId="32" xfId="0" applyNumberFormat="1" applyFont="1" applyFill="1" applyBorder="1" applyAlignment="1">
      <alignment horizontal="right" indent="1"/>
    </xf>
    <xf numFmtId="194" fontId="3" fillId="0" borderId="49" xfId="52" applyNumberFormat="1" applyFont="1" applyFill="1" applyBorder="1" applyAlignment="1" applyProtection="1">
      <alignment horizontal="center"/>
      <protection/>
    </xf>
    <xf numFmtId="0" fontId="28" fillId="0" borderId="60" xfId="0" applyFont="1" applyBorder="1" applyAlignment="1">
      <alignment horizontal="right" vertical="center"/>
    </xf>
    <xf numFmtId="0" fontId="0" fillId="9" borderId="59" xfId="0" applyFill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194" fontId="3" fillId="9" borderId="49" xfId="52" applyNumberFormat="1" applyFont="1" applyFill="1" applyBorder="1" applyAlignment="1">
      <alignment horizontal="left" vertical="center"/>
    </xf>
    <xf numFmtId="9" fontId="84" fillId="9" borderId="0" xfId="52" applyNumberFormat="1" applyFont="1" applyFill="1" applyBorder="1" applyAlignment="1">
      <alignment/>
    </xf>
    <xf numFmtId="0" fontId="84" fillId="0" borderId="0" xfId="0" applyFont="1" applyBorder="1" applyAlignment="1">
      <alignment/>
    </xf>
    <xf numFmtId="2" fontId="28" fillId="0" borderId="26" xfId="0" applyNumberFormat="1" applyFont="1" applyFill="1" applyBorder="1" applyAlignment="1">
      <alignment horizontal="right" indent="1"/>
    </xf>
    <xf numFmtId="194" fontId="3" fillId="0" borderId="49" xfId="52" applyNumberFormat="1" applyFont="1" applyFill="1" applyBorder="1" applyAlignment="1">
      <alignment horizontal="left" vertical="center"/>
    </xf>
    <xf numFmtId="194" fontId="3" fillId="9" borderId="49" xfId="52" applyNumberFormat="1" applyFont="1" applyFill="1" applyBorder="1" applyAlignment="1" applyProtection="1">
      <alignment horizontal="left" vertical="center"/>
      <protection locked="0"/>
    </xf>
    <xf numFmtId="0" fontId="0" fillId="9" borderId="59" xfId="0" applyFill="1" applyBorder="1" applyAlignment="1" applyProtection="1">
      <alignment horizontal="left" vertical="center"/>
      <protection locked="0"/>
    </xf>
    <xf numFmtId="6" fontId="4" fillId="0" borderId="59" xfId="0" applyNumberFormat="1" applyFont="1" applyFill="1" applyBorder="1" applyAlignment="1">
      <alignment horizontal="right" indent="1"/>
    </xf>
    <xf numFmtId="195" fontId="4" fillId="0" borderId="49" xfId="0" applyNumberFormat="1" applyFont="1" applyFill="1" applyBorder="1" applyAlignment="1">
      <alignment horizontal="right" indent="1"/>
    </xf>
    <xf numFmtId="9" fontId="84" fillId="9" borderId="0" xfId="52" applyNumberFormat="1" applyFont="1" applyFill="1" applyBorder="1" applyAlignment="1" applyProtection="1">
      <alignment/>
      <protection locked="0"/>
    </xf>
    <xf numFmtId="6" fontId="4" fillId="0" borderId="59" xfId="0" applyNumberFormat="1" applyFont="1" applyFill="1" applyBorder="1" applyAlignment="1" applyProtection="1">
      <alignment horizontal="right" indent="1"/>
      <protection/>
    </xf>
    <xf numFmtId="195" fontId="4" fillId="0" borderId="49" xfId="0" applyNumberFormat="1" applyFont="1" applyFill="1" applyBorder="1" applyAlignment="1" applyProtection="1">
      <alignment horizontal="right" indent="1"/>
      <protection/>
    </xf>
    <xf numFmtId="0" fontId="3" fillId="33" borderId="62" xfId="0" applyFont="1" applyFill="1" applyBorder="1" applyAlignment="1">
      <alignment horizontal="left" indent="1"/>
    </xf>
    <xf numFmtId="0" fontId="81" fillId="0" borderId="0" xfId="0" applyFont="1" applyAlignment="1">
      <alignment/>
    </xf>
    <xf numFmtId="0" fontId="85" fillId="9" borderId="55" xfId="0" applyFont="1" applyFill="1" applyBorder="1" applyAlignment="1" applyProtection="1">
      <alignment/>
      <protection locked="0"/>
    </xf>
    <xf numFmtId="0" fontId="86" fillId="9" borderId="55" xfId="0" applyFont="1" applyFill="1" applyBorder="1" applyAlignment="1" applyProtection="1">
      <alignment/>
      <protection locked="0"/>
    </xf>
    <xf numFmtId="8" fontId="4" fillId="0" borderId="11" xfId="49" applyNumberFormat="1" applyFont="1" applyFill="1" applyBorder="1" applyAlignment="1" applyProtection="1">
      <alignment horizontal="right"/>
      <protection/>
    </xf>
    <xf numFmtId="6" fontId="4" fillId="0" borderId="60" xfId="0" applyNumberFormat="1" applyFont="1" applyFill="1" applyBorder="1" applyAlignment="1" applyProtection="1">
      <alignment horizontal="right" indent="1"/>
      <protection/>
    </xf>
    <xf numFmtId="195" fontId="4" fillId="0" borderId="0" xfId="0" applyNumberFormat="1" applyFont="1" applyFill="1" applyBorder="1" applyAlignment="1" applyProtection="1">
      <alignment horizontal="right" indent="1"/>
      <protection/>
    </xf>
    <xf numFmtId="8" fontId="4" fillId="0" borderId="0" xfId="49" applyNumberFormat="1" applyFont="1" applyFill="1" applyBorder="1" applyAlignment="1">
      <alignment horizontal="right"/>
    </xf>
    <xf numFmtId="8" fontId="4" fillId="0" borderId="0" xfId="49" applyNumberFormat="1" applyFont="1" applyFill="1" applyBorder="1" applyAlignment="1" applyProtection="1">
      <alignment horizontal="right"/>
      <protection locked="0"/>
    </xf>
    <xf numFmtId="8" fontId="4" fillId="0" borderId="45" xfId="49" applyNumberFormat="1" applyFont="1" applyFill="1" applyBorder="1" applyAlignment="1" applyProtection="1">
      <alignment horizontal="right"/>
      <protection locked="0"/>
    </xf>
    <xf numFmtId="0" fontId="7" fillId="33" borderId="18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8" fontId="4" fillId="0" borderId="11" xfId="49" applyNumberFormat="1" applyFont="1" applyFill="1" applyBorder="1" applyAlignment="1">
      <alignment horizontal="right" vertical="center"/>
    </xf>
    <xf numFmtId="44" fontId="2" fillId="33" borderId="12" xfId="49" applyFont="1" applyFill="1" applyBorder="1" applyAlignment="1">
      <alignment horizontal="right" vertical="center"/>
    </xf>
    <xf numFmtId="195" fontId="10" fillId="34" borderId="49" xfId="0" applyNumberFormat="1" applyFont="1" applyFill="1" applyBorder="1" applyAlignment="1">
      <alignment horizontal="right" vertical="center" indent="1"/>
    </xf>
    <xf numFmtId="174" fontId="10" fillId="34" borderId="59" xfId="0" applyNumberFormat="1" applyFont="1" applyFill="1" applyBorder="1" applyAlignment="1">
      <alignment horizontal="right" vertical="center" indent="1"/>
    </xf>
    <xf numFmtId="174" fontId="10" fillId="34" borderId="59" xfId="0" applyNumberFormat="1" applyFont="1" applyFill="1" applyBorder="1" applyAlignment="1">
      <alignment horizontal="right" indent="1"/>
    </xf>
    <xf numFmtId="174" fontId="10" fillId="34" borderId="49" xfId="0" applyNumberFormat="1" applyFont="1" applyFill="1" applyBorder="1" applyAlignment="1">
      <alignment horizontal="right" indent="1"/>
    </xf>
    <xf numFmtId="195" fontId="10" fillId="34" borderId="41" xfId="0" applyNumberFormat="1" applyFont="1" applyFill="1" applyBorder="1" applyAlignment="1">
      <alignment horizontal="right" vertical="center" indent="1"/>
    </xf>
    <xf numFmtId="0" fontId="87" fillId="0" borderId="0" xfId="0" applyFont="1" applyAlignment="1">
      <alignment horizontal="center" vertical="center" wrapText="1"/>
    </xf>
    <xf numFmtId="0" fontId="84" fillId="0" borderId="0" xfId="0" applyFont="1" applyAlignment="1">
      <alignment horizontal="justify"/>
    </xf>
    <xf numFmtId="0" fontId="88" fillId="0" borderId="0" xfId="0" applyFont="1" applyAlignment="1">
      <alignment/>
    </xf>
    <xf numFmtId="0" fontId="88" fillId="0" borderId="0" xfId="0" applyFont="1" applyAlignment="1">
      <alignment horizontal="justify"/>
    </xf>
    <xf numFmtId="0" fontId="84" fillId="0" borderId="55" xfId="0" applyFont="1" applyBorder="1" applyAlignment="1">
      <alignment horizontal="left" wrapText="1" indent="1"/>
    </xf>
    <xf numFmtId="0" fontId="0" fillId="0" borderId="17" xfId="0" applyBorder="1" applyAlignment="1">
      <alignment vertical="center"/>
    </xf>
    <xf numFmtId="2" fontId="4" fillId="9" borderId="25" xfId="0" applyNumberFormat="1" applyFont="1" applyFill="1" applyBorder="1" applyAlignment="1" applyProtection="1">
      <alignment horizontal="right" vertical="center" indent="1"/>
      <protection locked="0"/>
    </xf>
    <xf numFmtId="2" fontId="4" fillId="9" borderId="56" xfId="0" applyNumberFormat="1" applyFont="1" applyFill="1" applyBorder="1" applyAlignment="1" applyProtection="1">
      <alignment horizontal="right" vertical="center" indent="1"/>
      <protection locked="0"/>
    </xf>
    <xf numFmtId="192" fontId="2" fillId="34" borderId="23" xfId="0" applyNumberFormat="1" applyFont="1" applyFill="1" applyBorder="1" applyAlignment="1">
      <alignment horizontal="right" vertical="center"/>
    </xf>
    <xf numFmtId="214" fontId="4" fillId="0" borderId="32" xfId="49" applyNumberFormat="1" applyFont="1" applyFill="1" applyBorder="1" applyAlignment="1">
      <alignment horizontal="right" vertical="center" indent="1"/>
    </xf>
    <xf numFmtId="2" fontId="4" fillId="0" borderId="32" xfId="0" applyNumberFormat="1" applyFont="1" applyFill="1" applyBorder="1" applyAlignment="1">
      <alignment horizontal="right" vertical="center" indent="1"/>
    </xf>
    <xf numFmtId="44" fontId="4" fillId="9" borderId="32" xfId="49" applyFont="1" applyFill="1" applyBorder="1" applyAlignment="1" applyProtection="1">
      <alignment horizontal="right" vertical="center" indent="1"/>
      <protection locked="0"/>
    </xf>
    <xf numFmtId="44" fontId="4" fillId="33" borderId="32" xfId="49" applyFont="1" applyFill="1" applyBorder="1" applyAlignment="1" applyProtection="1">
      <alignment horizontal="right" vertical="center" indent="1"/>
      <protection locked="0"/>
    </xf>
    <xf numFmtId="0" fontId="4" fillId="9" borderId="17" xfId="0" applyFont="1" applyFill="1" applyBorder="1" applyAlignment="1" applyProtection="1">
      <alignment horizontal="left" vertical="center" indent="1"/>
      <protection locked="0"/>
    </xf>
    <xf numFmtId="0" fontId="3" fillId="33" borderId="17" xfId="0" applyFont="1" applyFill="1" applyBorder="1" applyAlignment="1">
      <alignment horizontal="left" vertical="center" wrapText="1"/>
    </xf>
    <xf numFmtId="0" fontId="0" fillId="33" borderId="0" xfId="0" applyFill="1" applyBorder="1" applyAlignment="1" applyProtection="1">
      <alignment horizontal="left" vertical="center" indent="1"/>
      <protection locked="0"/>
    </xf>
    <xf numFmtId="214" fontId="3" fillId="0" borderId="42" xfId="49" applyNumberFormat="1" applyFont="1" applyFill="1" applyBorder="1" applyAlignment="1">
      <alignment horizontal="right" vertical="center" indent="1"/>
    </xf>
    <xf numFmtId="0" fontId="7" fillId="34" borderId="27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left" vertical="center"/>
    </xf>
    <xf numFmtId="2" fontId="2" fillId="33" borderId="33" xfId="0" applyNumberFormat="1" applyFont="1" applyFill="1" applyBorder="1" applyAlignment="1">
      <alignment horizontal="right" vertical="center" indent="1"/>
    </xf>
    <xf numFmtId="2" fontId="4" fillId="9" borderId="25" xfId="0" applyNumberFormat="1" applyFont="1" applyFill="1" applyBorder="1" applyAlignment="1">
      <alignment horizontal="right" vertical="center" indent="1"/>
    </xf>
    <xf numFmtId="2" fontId="4" fillId="33" borderId="25" xfId="0" applyNumberFormat="1" applyFont="1" applyFill="1" applyBorder="1" applyAlignment="1">
      <alignment horizontal="left" indent="1"/>
    </xf>
    <xf numFmtId="2" fontId="2" fillId="33" borderId="39" xfId="0" applyNumberFormat="1" applyFont="1" applyFill="1" applyBorder="1" applyAlignment="1">
      <alignment horizontal="right" vertical="center" indent="1"/>
    </xf>
    <xf numFmtId="0" fontId="4" fillId="33" borderId="60" xfId="0" applyFont="1" applyFill="1" applyBorder="1" applyAlignment="1">
      <alignment/>
    </xf>
    <xf numFmtId="0" fontId="4" fillId="9" borderId="0" xfId="0" applyFont="1" applyFill="1" applyBorder="1" applyAlignment="1" applyProtection="1">
      <alignment horizontal="left" vertical="center" indent="1"/>
      <protection locked="0"/>
    </xf>
    <xf numFmtId="0" fontId="86" fillId="9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/>
    </xf>
    <xf numFmtId="0" fontId="86" fillId="9" borderId="17" xfId="0" applyFont="1" applyFill="1" applyBorder="1" applyAlignment="1" applyProtection="1">
      <alignment horizontal="left" indent="1"/>
      <protection locked="0"/>
    </xf>
    <xf numFmtId="0" fontId="84" fillId="33" borderId="41" xfId="0" applyFont="1" applyFill="1" applyBorder="1" applyAlignment="1">
      <alignment horizontal="right"/>
    </xf>
    <xf numFmtId="0" fontId="28" fillId="33" borderId="55" xfId="0" applyFont="1" applyFill="1" applyBorder="1" applyAlignment="1">
      <alignment horizontal="right"/>
    </xf>
    <xf numFmtId="0" fontId="2" fillId="33" borderId="48" xfId="0" applyFont="1" applyFill="1" applyBorder="1" applyAlignment="1">
      <alignment horizontal="right" indent="1"/>
    </xf>
    <xf numFmtId="0" fontId="2" fillId="33" borderId="63" xfId="0" applyFont="1" applyFill="1" applyBorder="1" applyAlignment="1">
      <alignment horizontal="right" indent="1"/>
    </xf>
    <xf numFmtId="0" fontId="2" fillId="33" borderId="26" xfId="0" applyFont="1" applyFill="1" applyBorder="1" applyAlignment="1">
      <alignment horizontal="right" indent="1"/>
    </xf>
    <xf numFmtId="0" fontId="2" fillId="33" borderId="56" xfId="0" applyFont="1" applyFill="1" applyBorder="1" applyAlignment="1">
      <alignment horizontal="right" indent="1"/>
    </xf>
    <xf numFmtId="0" fontId="2" fillId="33" borderId="64" xfId="0" applyFont="1" applyFill="1" applyBorder="1" applyAlignment="1">
      <alignment horizontal="right" indent="1"/>
    </xf>
    <xf numFmtId="0" fontId="2" fillId="33" borderId="55" xfId="0" applyFont="1" applyFill="1" applyBorder="1" applyAlignment="1">
      <alignment horizontal="right" indent="1"/>
    </xf>
    <xf numFmtId="0" fontId="2" fillId="33" borderId="59" xfId="0" applyFont="1" applyFill="1" applyBorder="1" applyAlignment="1">
      <alignment horizontal="right" indent="1"/>
    </xf>
    <xf numFmtId="0" fontId="2" fillId="33" borderId="0" xfId="0" applyFont="1" applyFill="1" applyBorder="1" applyAlignment="1">
      <alignment horizontal="right" indent="1"/>
    </xf>
    <xf numFmtId="0" fontId="0" fillId="0" borderId="10" xfId="0" applyBorder="1" applyAlignment="1">
      <alignment/>
    </xf>
    <xf numFmtId="194" fontId="3" fillId="0" borderId="47" xfId="52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 horizontal="left" indent="1"/>
    </xf>
    <xf numFmtId="0" fontId="4" fillId="0" borderId="65" xfId="0" applyFont="1" applyBorder="1" applyAlignment="1">
      <alignment horizontal="left" indent="1"/>
    </xf>
    <xf numFmtId="44" fontId="3" fillId="9" borderId="32" xfId="49" applyNumberFormat="1" applyFont="1" applyFill="1" applyBorder="1" applyAlignment="1" applyProtection="1">
      <alignment vertical="center"/>
      <protection locked="0"/>
    </xf>
    <xf numFmtId="190" fontId="3" fillId="0" borderId="32" xfId="0" applyNumberFormat="1" applyFont="1" applyFill="1" applyBorder="1" applyAlignment="1" applyProtection="1">
      <alignment horizontal="right" indent="1"/>
      <protection/>
    </xf>
    <xf numFmtId="44" fontId="3" fillId="0" borderId="54" xfId="49" applyNumberFormat="1" applyFont="1" applyFill="1" applyBorder="1" applyAlignment="1" applyProtection="1">
      <alignment vertical="center"/>
      <protection/>
    </xf>
    <xf numFmtId="0" fontId="4" fillId="0" borderId="66" xfId="0" applyFont="1" applyBorder="1" applyAlignment="1">
      <alignment horizontal="left" vertical="center"/>
    </xf>
    <xf numFmtId="6" fontId="4" fillId="9" borderId="61" xfId="0" applyNumberFormat="1" applyFont="1" applyFill="1" applyBorder="1" applyAlignment="1" applyProtection="1">
      <alignment horizontal="right" vertical="center"/>
      <protection locked="0"/>
    </xf>
    <xf numFmtId="190" fontId="3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38" xfId="0" applyFont="1" applyBorder="1" applyAlignment="1">
      <alignment horizontal="left" vertical="center"/>
    </xf>
    <xf numFmtId="188" fontId="4" fillId="9" borderId="32" xfId="0" applyNumberFormat="1" applyFont="1" applyFill="1" applyBorder="1" applyAlignment="1" applyProtection="1">
      <alignment horizontal="right" vertical="center"/>
      <protection locked="0"/>
    </xf>
    <xf numFmtId="194" fontId="3" fillId="0" borderId="49" xfId="52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67" xfId="0" applyFont="1" applyBorder="1" applyAlignment="1">
      <alignment horizontal="left" vertical="center" indent="1"/>
    </xf>
    <xf numFmtId="44" fontId="3" fillId="9" borderId="54" xfId="49" applyNumberFormat="1" applyFont="1" applyFill="1" applyBorder="1" applyAlignment="1" applyProtection="1">
      <alignment vertical="center"/>
      <protection locked="0"/>
    </xf>
    <xf numFmtId="190" fontId="3" fillId="9" borderId="26" xfId="0" applyNumberFormat="1" applyFont="1" applyFill="1" applyBorder="1" applyAlignment="1" applyProtection="1">
      <alignment horizontal="right" vertical="center"/>
      <protection locked="0"/>
    </xf>
    <xf numFmtId="194" fontId="3" fillId="9" borderId="49" xfId="52" applyNumberFormat="1" applyFont="1" applyFill="1" applyBorder="1" applyAlignment="1" applyProtection="1">
      <alignment horizontal="center" vertical="center"/>
      <protection locked="0"/>
    </xf>
    <xf numFmtId="194" fontId="3" fillId="37" borderId="47" xfId="52" applyNumberFormat="1" applyFont="1" applyFill="1" applyBorder="1" applyAlignment="1" applyProtection="1">
      <alignment horizontal="center"/>
      <protection locked="0"/>
    </xf>
    <xf numFmtId="0" fontId="4" fillId="0" borderId="54" xfId="0" applyFont="1" applyBorder="1" applyAlignment="1">
      <alignment horizontal="right" vertical="top"/>
    </xf>
    <xf numFmtId="0" fontId="84" fillId="0" borderId="53" xfId="0" applyFont="1" applyBorder="1" applyAlignment="1">
      <alignment horizontal="right" vertical="center" indent="1"/>
    </xf>
    <xf numFmtId="173" fontId="28" fillId="0" borderId="55" xfId="0" applyNumberFormat="1" applyFont="1" applyFill="1" applyBorder="1" applyAlignment="1" applyProtection="1">
      <alignment horizontal="left" vertical="center" indent="2"/>
      <protection locked="0"/>
    </xf>
    <xf numFmtId="173" fontId="3" fillId="0" borderId="39" xfId="0" applyNumberFormat="1" applyFont="1" applyFill="1" applyBorder="1" applyAlignment="1" applyProtection="1">
      <alignment horizontal="left" vertical="center" indent="2"/>
      <protection/>
    </xf>
    <xf numFmtId="9" fontId="3" fillId="0" borderId="62" xfId="52" applyFont="1" applyFill="1" applyBorder="1" applyAlignment="1" applyProtection="1">
      <alignment horizontal="left" vertical="center" indent="2"/>
      <protection/>
    </xf>
    <xf numFmtId="0" fontId="84" fillId="33" borderId="0" xfId="0" applyFont="1" applyFill="1" applyBorder="1" applyAlignment="1">
      <alignment horizontal="left" vertical="center" indent="1"/>
    </xf>
    <xf numFmtId="0" fontId="84" fillId="9" borderId="0" xfId="0" applyFont="1" applyFill="1" applyBorder="1" applyAlignment="1" applyProtection="1">
      <alignment horizontal="left" vertical="center" indent="1"/>
      <protection locked="0"/>
    </xf>
    <xf numFmtId="214" fontId="28" fillId="0" borderId="32" xfId="49" applyNumberFormat="1" applyFont="1" applyFill="1" applyBorder="1" applyAlignment="1">
      <alignment horizontal="right" vertical="center" indent="1"/>
    </xf>
    <xf numFmtId="2" fontId="28" fillId="33" borderId="0" xfId="0" applyNumberFormat="1" applyFont="1" applyFill="1" applyBorder="1" applyAlignment="1">
      <alignment horizontal="right" indent="1"/>
    </xf>
    <xf numFmtId="214" fontId="28" fillId="0" borderId="25" xfId="49" applyNumberFormat="1" applyFont="1" applyFill="1" applyBorder="1" applyAlignment="1">
      <alignment horizontal="right" vertical="center" indent="1"/>
    </xf>
    <xf numFmtId="214" fontId="28" fillId="0" borderId="39" xfId="49" applyNumberFormat="1" applyFont="1" applyFill="1" applyBorder="1" applyAlignment="1">
      <alignment horizontal="right" vertical="center" indent="1"/>
    </xf>
    <xf numFmtId="0" fontId="84" fillId="33" borderId="61" xfId="0" applyFont="1" applyFill="1" applyBorder="1" applyAlignment="1">
      <alignment/>
    </xf>
    <xf numFmtId="214" fontId="28" fillId="0" borderId="34" xfId="49" applyNumberFormat="1" applyFont="1" applyFill="1" applyBorder="1" applyAlignment="1">
      <alignment horizontal="right" vertical="center" indent="1"/>
    </xf>
    <xf numFmtId="214" fontId="2" fillId="0" borderId="68" xfId="49" applyNumberFormat="1" applyFont="1" applyFill="1" applyBorder="1" applyAlignment="1">
      <alignment horizontal="right" vertical="center" indent="1"/>
    </xf>
    <xf numFmtId="0" fontId="4" fillId="33" borderId="11" xfId="0" applyFont="1" applyFill="1" applyBorder="1" applyAlignment="1">
      <alignment horizontal="left" indent="1"/>
    </xf>
    <xf numFmtId="214" fontId="2" fillId="0" borderId="42" xfId="49" applyNumberFormat="1" applyFont="1" applyFill="1" applyBorder="1" applyAlignment="1">
      <alignment horizontal="right" vertical="center" indent="1"/>
    </xf>
    <xf numFmtId="0" fontId="0" fillId="33" borderId="22" xfId="0" applyFill="1" applyBorder="1" applyAlignment="1">
      <alignment/>
    </xf>
    <xf numFmtId="0" fontId="0" fillId="0" borderId="12" xfId="0" applyBorder="1" applyAlignment="1">
      <alignment/>
    </xf>
    <xf numFmtId="192" fontId="2" fillId="34" borderId="51" xfId="0" applyNumberFormat="1" applyFont="1" applyFill="1" applyBorder="1" applyAlignment="1" applyProtection="1">
      <alignment horizontal="right" vertical="center"/>
      <protection/>
    </xf>
    <xf numFmtId="214" fontId="2" fillId="0" borderId="48" xfId="49" applyNumberFormat="1" applyFont="1" applyFill="1" applyBorder="1" applyAlignment="1">
      <alignment horizontal="right" vertical="center" indent="1"/>
    </xf>
    <xf numFmtId="214" fontId="2" fillId="0" borderId="39" xfId="49" applyNumberFormat="1" applyFont="1" applyFill="1" applyBorder="1" applyAlignment="1">
      <alignment horizontal="right" vertical="center" indent="1"/>
    </xf>
    <xf numFmtId="192" fontId="2" fillId="34" borderId="42" xfId="0" applyNumberFormat="1" applyFont="1" applyFill="1" applyBorder="1" applyAlignment="1" applyProtection="1">
      <alignment horizontal="right" vertical="center"/>
      <protection/>
    </xf>
    <xf numFmtId="214" fontId="28" fillId="0" borderId="56" xfId="49" applyNumberFormat="1" applyFont="1" applyFill="1" applyBorder="1" applyAlignment="1">
      <alignment horizontal="right" vertical="center" indent="1"/>
    </xf>
    <xf numFmtId="0" fontId="3" fillId="33" borderId="69" xfId="0" applyFont="1" applyFill="1" applyBorder="1" applyAlignment="1">
      <alignment horizontal="left" wrapText="1"/>
    </xf>
    <xf numFmtId="0" fontId="7" fillId="34" borderId="36" xfId="0" applyFont="1" applyFill="1" applyBorder="1" applyAlignment="1" applyProtection="1">
      <alignment horizontal="left" vertical="center"/>
      <protection/>
    </xf>
    <xf numFmtId="0" fontId="7" fillId="34" borderId="30" xfId="0" applyFont="1" applyFill="1" applyBorder="1" applyAlignment="1" applyProtection="1">
      <alignment horizontal="left" vertical="center"/>
      <protection/>
    </xf>
    <xf numFmtId="0" fontId="7" fillId="34" borderId="37" xfId="0" applyFont="1" applyFill="1" applyBorder="1" applyAlignment="1" applyProtection="1">
      <alignment horizontal="left" vertical="center"/>
      <protection/>
    </xf>
    <xf numFmtId="180" fontId="13" fillId="0" borderId="25" xfId="49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 indent="1"/>
      <protection/>
    </xf>
    <xf numFmtId="207" fontId="10" fillId="0" borderId="0" xfId="0" applyNumberFormat="1" applyFont="1" applyFill="1" applyBorder="1" applyAlignment="1" applyProtection="1">
      <alignment horizontal="right" vertical="center" indent="1"/>
      <protection/>
    </xf>
    <xf numFmtId="7" fontId="3" fillId="0" borderId="48" xfId="49" applyNumberFormat="1" applyFont="1" applyFill="1" applyBorder="1" applyAlignment="1" applyProtection="1">
      <alignment horizontal="center"/>
      <protection/>
    </xf>
    <xf numFmtId="207" fontId="10" fillId="34" borderId="34" xfId="0" applyNumberFormat="1" applyFont="1" applyFill="1" applyBorder="1" applyAlignment="1" applyProtection="1">
      <alignment horizontal="right" vertical="center" indent="1"/>
      <protection/>
    </xf>
    <xf numFmtId="173" fontId="81" fillId="0" borderId="55" xfId="0" applyNumberFormat="1" applyFont="1" applyBorder="1" applyAlignment="1">
      <alignment horizontal="right" vertical="center" indent="1"/>
    </xf>
    <xf numFmtId="173" fontId="81" fillId="0" borderId="55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28" fillId="33" borderId="38" xfId="0" applyFont="1" applyFill="1" applyBorder="1" applyAlignment="1">
      <alignment horizontal="left" vertical="center" indent="1"/>
    </xf>
    <xf numFmtId="0" fontId="28" fillId="33" borderId="70" xfId="0" applyFont="1" applyFill="1" applyBorder="1" applyAlignment="1">
      <alignment horizontal="left" vertical="center" indent="1"/>
    </xf>
    <xf numFmtId="2" fontId="28" fillId="0" borderId="25" xfId="0" applyNumberFormat="1" applyFont="1" applyFill="1" applyBorder="1" applyAlignment="1">
      <alignment horizontal="right" vertical="center" indent="1"/>
    </xf>
    <xf numFmtId="2" fontId="28" fillId="33" borderId="25" xfId="0" applyNumberFormat="1" applyFont="1" applyFill="1" applyBorder="1" applyAlignment="1">
      <alignment horizontal="right" vertical="center" indent="1"/>
    </xf>
    <xf numFmtId="2" fontId="28" fillId="33" borderId="56" xfId="0" applyNumberFormat="1" applyFont="1" applyFill="1" applyBorder="1" applyAlignment="1">
      <alignment horizontal="right" vertical="center" indent="1"/>
    </xf>
    <xf numFmtId="0" fontId="0" fillId="0" borderId="25" xfId="0" applyBorder="1" applyAlignment="1">
      <alignment vertical="center"/>
    </xf>
    <xf numFmtId="0" fontId="4" fillId="33" borderId="17" xfId="0" applyFont="1" applyFill="1" applyBorder="1" applyAlignment="1" applyProtection="1">
      <alignment horizontal="left" vertical="center" wrapText="1" indent="1"/>
      <protection/>
    </xf>
    <xf numFmtId="0" fontId="3" fillId="33" borderId="20" xfId="0" applyFont="1" applyFill="1" applyBorder="1" applyAlignment="1" applyProtection="1">
      <alignment horizontal="left" vertical="center" indent="1"/>
      <protection/>
    </xf>
    <xf numFmtId="44" fontId="4" fillId="0" borderId="25" xfId="49" applyFont="1" applyFill="1" applyBorder="1" applyAlignment="1" applyProtection="1">
      <alignment horizontal="right" vertical="center" indent="1"/>
      <protection/>
    </xf>
    <xf numFmtId="44" fontId="4" fillId="0" borderId="32" xfId="49" applyFont="1" applyFill="1" applyBorder="1" applyAlignment="1" applyProtection="1">
      <alignment horizontal="right" vertical="center" indent="1"/>
      <protection/>
    </xf>
    <xf numFmtId="0" fontId="84" fillId="0" borderId="26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214" fontId="43" fillId="0" borderId="46" xfId="49" applyNumberFormat="1" applyFont="1" applyFill="1" applyBorder="1" applyAlignment="1">
      <alignment horizontal="right" vertical="center" indent="1"/>
    </xf>
    <xf numFmtId="214" fontId="2" fillId="38" borderId="68" xfId="49" applyNumberFormat="1" applyFont="1" applyFill="1" applyBorder="1" applyAlignment="1">
      <alignment horizontal="right" vertical="center" indent="1"/>
    </xf>
    <xf numFmtId="214" fontId="2" fillId="38" borderId="42" xfId="49" applyNumberFormat="1" applyFont="1" applyFill="1" applyBorder="1" applyAlignment="1">
      <alignment horizontal="right" vertical="center" indent="1"/>
    </xf>
    <xf numFmtId="214" fontId="2" fillId="0" borderId="34" xfId="49" applyNumberFormat="1" applyFont="1" applyFill="1" applyBorder="1" applyAlignment="1">
      <alignment horizontal="right" vertical="center" indent="1"/>
    </xf>
    <xf numFmtId="215" fontId="4" fillId="9" borderId="45" xfId="0" applyNumberFormat="1" applyFont="1" applyFill="1" applyBorder="1" applyAlignment="1" applyProtection="1">
      <alignment vertical="center"/>
      <protection locked="0"/>
    </xf>
    <xf numFmtId="215" fontId="4" fillId="0" borderId="10" xfId="0" applyNumberFormat="1" applyFont="1" applyFill="1" applyBorder="1" applyAlignment="1" applyProtection="1">
      <alignment vertical="center"/>
      <protection locked="0"/>
    </xf>
    <xf numFmtId="0" fontId="85" fillId="0" borderId="69" xfId="0" applyFont="1" applyBorder="1" applyAlignment="1">
      <alignment horizontal="left" vertical="top" indent="1"/>
    </xf>
    <xf numFmtId="0" fontId="85" fillId="0" borderId="71" xfId="0" applyFont="1" applyBorder="1" applyAlignment="1">
      <alignment horizontal="left" vertical="top" indent="1"/>
    </xf>
    <xf numFmtId="9" fontId="16" fillId="0" borderId="33" xfId="52" applyFont="1" applyFill="1" applyBorder="1" applyAlignment="1">
      <alignment horizontal="left" vertical="center" indent="2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2" fontId="2" fillId="0" borderId="49" xfId="0" applyNumberFormat="1" applyFont="1" applyFill="1" applyBorder="1" applyAlignment="1">
      <alignment horizontal="right" vertical="center" indent="1"/>
    </xf>
    <xf numFmtId="44" fontId="3" fillId="0" borderId="48" xfId="49" applyFont="1" applyFill="1" applyBorder="1" applyAlignment="1" applyProtection="1">
      <alignment horizontal="left" vertical="center" indent="2"/>
      <protection/>
    </xf>
    <xf numFmtId="0" fontId="0" fillId="0" borderId="60" xfId="0" applyBorder="1" applyAlignment="1">
      <alignment/>
    </xf>
    <xf numFmtId="190" fontId="3" fillId="0" borderId="0" xfId="0" applyNumberFormat="1" applyFont="1" applyFill="1" applyBorder="1" applyAlignment="1">
      <alignment horizontal="right" indent="1"/>
    </xf>
    <xf numFmtId="180" fontId="2" fillId="0" borderId="30" xfId="49" applyNumberFormat="1" applyFont="1" applyFill="1" applyBorder="1" applyAlignment="1">
      <alignment horizontal="right"/>
    </xf>
    <xf numFmtId="190" fontId="3" fillId="0" borderId="42" xfId="0" applyNumberFormat="1" applyFont="1" applyFill="1" applyBorder="1" applyAlignment="1" applyProtection="1">
      <alignment/>
      <protection/>
    </xf>
    <xf numFmtId="9" fontId="81" fillId="0" borderId="34" xfId="52" applyFont="1" applyFill="1" applyBorder="1" applyAlignment="1">
      <alignment horizontal="left" vertical="center" indent="2"/>
    </xf>
    <xf numFmtId="0" fontId="89" fillId="0" borderId="55" xfId="0" applyFont="1" applyBorder="1" applyAlignment="1">
      <alignment horizontal="right" indent="1"/>
    </xf>
    <xf numFmtId="0" fontId="2" fillId="0" borderId="55" xfId="0" applyFont="1" applyBorder="1" applyAlignment="1">
      <alignment horizontal="center"/>
    </xf>
    <xf numFmtId="0" fontId="85" fillId="0" borderId="55" xfId="0" applyFont="1" applyBorder="1" applyAlignment="1">
      <alignment horizontal="right" indent="1"/>
    </xf>
    <xf numFmtId="0" fontId="81" fillId="0" borderId="55" xfId="0" applyFont="1" applyBorder="1" applyAlignment="1">
      <alignment horizontal="right" vertical="center" indent="1"/>
    </xf>
    <xf numFmtId="0" fontId="84" fillId="0" borderId="55" xfId="0" applyFont="1" applyBorder="1" applyAlignment="1">
      <alignment horizontal="left" vertical="center" indent="1"/>
    </xf>
    <xf numFmtId="0" fontId="81" fillId="0" borderId="55" xfId="0" applyFont="1" applyFill="1" applyBorder="1" applyAlignment="1">
      <alignment horizontal="right" vertical="center" indent="1"/>
    </xf>
    <xf numFmtId="0" fontId="89" fillId="0" borderId="55" xfId="0" applyFont="1" applyFill="1" applyBorder="1" applyAlignment="1">
      <alignment horizontal="left" vertical="center" wrapText="1" indent="1"/>
    </xf>
    <xf numFmtId="0" fontId="89" fillId="0" borderId="55" xfId="0" applyFont="1" applyFill="1" applyBorder="1" applyAlignment="1">
      <alignment horizontal="left" vertical="center" indent="1"/>
    </xf>
    <xf numFmtId="0" fontId="89" fillId="0" borderId="55" xfId="0" applyFont="1" applyBorder="1" applyAlignment="1">
      <alignment horizontal="left" vertical="center" indent="1"/>
    </xf>
    <xf numFmtId="6" fontId="3" fillId="0" borderId="61" xfId="0" applyNumberFormat="1" applyFont="1" applyFill="1" applyBorder="1" applyAlignment="1" applyProtection="1">
      <alignment horizontal="right" vertical="center" indent="1"/>
      <protection locked="0"/>
    </xf>
    <xf numFmtId="0" fontId="84" fillId="0" borderId="74" xfId="0" applyFont="1" applyBorder="1" applyAlignment="1">
      <alignment horizontal="left" indent="1"/>
    </xf>
    <xf numFmtId="0" fontId="84" fillId="0" borderId="70" xfId="0" applyFont="1" applyBorder="1" applyAlignment="1">
      <alignment horizontal="left" indent="1"/>
    </xf>
    <xf numFmtId="173" fontId="81" fillId="0" borderId="56" xfId="0" applyNumberFormat="1" applyFont="1" applyBorder="1" applyAlignment="1">
      <alignment horizontal="right" vertical="center" indent="1"/>
    </xf>
    <xf numFmtId="6" fontId="3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" fillId="0" borderId="75" xfId="0" applyFont="1" applyBorder="1" applyAlignment="1">
      <alignment horizontal="center"/>
    </xf>
    <xf numFmtId="0" fontId="81" fillId="0" borderId="68" xfId="0" applyFont="1" applyBorder="1" applyAlignment="1">
      <alignment horizontal="center" wrapText="1"/>
    </xf>
    <xf numFmtId="0" fontId="81" fillId="0" borderId="42" xfId="0" applyFont="1" applyBorder="1" applyAlignment="1">
      <alignment horizontal="center" wrapText="1"/>
    </xf>
    <xf numFmtId="0" fontId="84" fillId="36" borderId="74" xfId="0" applyFont="1" applyFill="1" applyBorder="1" applyAlignment="1">
      <alignment horizontal="left" wrapText="1" indent="1"/>
    </xf>
    <xf numFmtId="173" fontId="81" fillId="36" borderId="55" xfId="0" applyNumberFormat="1" applyFont="1" applyFill="1" applyBorder="1" applyAlignment="1">
      <alignment horizontal="right" vertical="center" indent="1"/>
    </xf>
    <xf numFmtId="6" fontId="3" fillId="36" borderId="61" xfId="0" applyNumberFormat="1" applyFont="1" applyFill="1" applyBorder="1" applyAlignment="1" applyProtection="1">
      <alignment horizontal="right" vertical="center" indent="1"/>
      <protection locked="0"/>
    </xf>
    <xf numFmtId="0" fontId="84" fillId="36" borderId="74" xfId="0" applyFont="1" applyFill="1" applyBorder="1" applyAlignment="1">
      <alignment horizontal="left" indent="1"/>
    </xf>
    <xf numFmtId="0" fontId="84" fillId="36" borderId="76" xfId="0" applyFont="1" applyFill="1" applyBorder="1" applyAlignment="1">
      <alignment horizontal="left" indent="1"/>
    </xf>
    <xf numFmtId="173" fontId="81" fillId="36" borderId="39" xfId="0" applyNumberFormat="1" applyFont="1" applyFill="1" applyBorder="1" applyAlignment="1">
      <alignment horizontal="right" vertical="center" indent="1"/>
    </xf>
    <xf numFmtId="6" fontId="3" fillId="36" borderId="34" xfId="0" applyNumberFormat="1" applyFont="1" applyFill="1" applyBorder="1" applyAlignment="1" applyProtection="1">
      <alignment horizontal="right" vertical="center" indent="1"/>
      <protection locked="0"/>
    </xf>
    <xf numFmtId="215" fontId="4" fillId="0" borderId="45" xfId="0" applyNumberFormat="1" applyFont="1" applyFill="1" applyBorder="1" applyAlignment="1" applyProtection="1">
      <alignment vertical="center"/>
      <protection/>
    </xf>
    <xf numFmtId="193" fontId="2" fillId="0" borderId="0" xfId="49" applyNumberFormat="1" applyFont="1" applyFill="1" applyBorder="1" applyAlignment="1">
      <alignment horizontal="right"/>
    </xf>
    <xf numFmtId="44" fontId="3" fillId="0" borderId="32" xfId="49" applyNumberFormat="1" applyFont="1" applyFill="1" applyBorder="1" applyAlignment="1" applyProtection="1">
      <alignment vertical="center"/>
      <protection/>
    </xf>
    <xf numFmtId="173" fontId="3" fillId="0" borderId="49" xfId="0" applyNumberFormat="1" applyFont="1" applyFill="1" applyBorder="1" applyAlignment="1" applyProtection="1">
      <alignment horizontal="right" vertical="center" indent="3"/>
      <protection/>
    </xf>
    <xf numFmtId="0" fontId="0" fillId="9" borderId="0" xfId="0" applyFill="1" applyBorder="1" applyAlignment="1" applyProtection="1">
      <alignment horizontal="left" indent="1"/>
      <protection locked="0"/>
    </xf>
    <xf numFmtId="9" fontId="86" fillId="9" borderId="0" xfId="0" applyNumberFormat="1" applyFont="1" applyFill="1" applyBorder="1" applyAlignment="1" applyProtection="1">
      <alignment horizontal="left" vertical="center" indent="1"/>
      <protection locked="0"/>
    </xf>
    <xf numFmtId="10" fontId="86" fillId="9" borderId="0" xfId="0" applyNumberFormat="1" applyFont="1" applyFill="1" applyBorder="1" applyAlignment="1" applyProtection="1">
      <alignment horizontal="left" vertical="center" indent="1"/>
      <protection locked="0"/>
    </xf>
    <xf numFmtId="0" fontId="18" fillId="34" borderId="71" xfId="0" applyFont="1" applyFill="1" applyBorder="1" applyAlignment="1">
      <alignment horizontal="center"/>
    </xf>
    <xf numFmtId="0" fontId="18" fillId="34" borderId="60" xfId="0" applyFont="1" applyFill="1" applyBorder="1" applyAlignment="1">
      <alignment horizontal="center"/>
    </xf>
    <xf numFmtId="0" fontId="18" fillId="34" borderId="77" xfId="0" applyFont="1" applyFill="1" applyBorder="1" applyAlignment="1">
      <alignment horizontal="center"/>
    </xf>
    <xf numFmtId="17" fontId="17" fillId="0" borderId="17" xfId="0" applyNumberFormat="1" applyFont="1" applyFill="1" applyBorder="1" applyAlignment="1">
      <alignment horizontal="center"/>
    </xf>
    <xf numFmtId="17" fontId="17" fillId="0" borderId="0" xfId="0" applyNumberFormat="1" applyFont="1" applyFill="1" applyBorder="1" applyAlignment="1">
      <alignment horizontal="center"/>
    </xf>
    <xf numFmtId="17" fontId="17" fillId="0" borderId="11" xfId="0" applyNumberFormat="1" applyFont="1" applyFill="1" applyBorder="1" applyAlignment="1">
      <alignment horizontal="center"/>
    </xf>
    <xf numFmtId="0" fontId="14" fillId="35" borderId="20" xfId="0" applyFont="1" applyFill="1" applyBorder="1" applyAlignment="1">
      <alignment horizontal="left"/>
    </xf>
    <xf numFmtId="0" fontId="14" fillId="35" borderId="14" xfId="0" applyFont="1" applyFill="1" applyBorder="1" applyAlignment="1">
      <alignment horizontal="left"/>
    </xf>
    <xf numFmtId="0" fontId="14" fillId="35" borderId="15" xfId="0" applyFont="1" applyFill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88" fillId="0" borderId="45" xfId="0" applyFont="1" applyBorder="1" applyAlignment="1">
      <alignment horizontal="center" vertical="center"/>
    </xf>
    <xf numFmtId="0" fontId="26" fillId="34" borderId="71" xfId="0" applyFont="1" applyFill="1" applyBorder="1" applyAlignment="1">
      <alignment horizontal="center"/>
    </xf>
    <xf numFmtId="0" fontId="26" fillId="34" borderId="60" xfId="0" applyFont="1" applyFill="1" applyBorder="1" applyAlignment="1">
      <alignment horizontal="center"/>
    </xf>
    <xf numFmtId="0" fontId="26" fillId="34" borderId="77" xfId="0" applyFont="1" applyFill="1" applyBorder="1" applyAlignment="1">
      <alignment horizontal="center"/>
    </xf>
    <xf numFmtId="17" fontId="30" fillId="0" borderId="17" xfId="0" applyNumberFormat="1" applyFont="1" applyFill="1" applyBorder="1" applyAlignment="1" applyProtection="1">
      <alignment horizontal="center"/>
      <protection locked="0"/>
    </xf>
    <xf numFmtId="17" fontId="30" fillId="0" borderId="0" xfId="0" applyNumberFormat="1" applyFont="1" applyFill="1" applyBorder="1" applyAlignment="1" applyProtection="1">
      <alignment horizontal="center"/>
      <protection locked="0"/>
    </xf>
    <xf numFmtId="17" fontId="30" fillId="0" borderId="11" xfId="0" applyNumberFormat="1" applyFont="1" applyFill="1" applyBorder="1" applyAlignment="1" applyProtection="1">
      <alignment horizontal="center"/>
      <protection locked="0"/>
    </xf>
    <xf numFmtId="0" fontId="14" fillId="9" borderId="14" xfId="0" applyFont="1" applyFill="1" applyBorder="1" applyAlignment="1" applyProtection="1">
      <alignment horizontal="left" vertical="center"/>
      <protection locked="0"/>
    </xf>
    <xf numFmtId="0" fontId="14" fillId="9" borderId="29" xfId="0" applyFont="1" applyFill="1" applyBorder="1" applyAlignment="1" applyProtection="1">
      <alignment horizontal="left" vertical="center"/>
      <protection locked="0"/>
    </xf>
    <xf numFmtId="0" fontId="7" fillId="34" borderId="71" xfId="0" applyFont="1" applyFill="1" applyBorder="1" applyAlignment="1">
      <alignment horizontal="left" vertical="center"/>
    </xf>
    <xf numFmtId="0" fontId="7" fillId="34" borderId="6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top"/>
    </xf>
    <xf numFmtId="0" fontId="7" fillId="34" borderId="18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84" fillId="0" borderId="45" xfId="0" applyFont="1" applyBorder="1" applyAlignment="1">
      <alignment horizontal="left" vertical="center"/>
    </xf>
    <xf numFmtId="0" fontId="84" fillId="0" borderId="43" xfId="0" applyFont="1" applyBorder="1" applyAlignment="1">
      <alignment horizontal="left" vertical="center"/>
    </xf>
    <xf numFmtId="0" fontId="31" fillId="33" borderId="36" xfId="0" applyFont="1" applyFill="1" applyBorder="1" applyAlignment="1">
      <alignment horizontal="left" vertical="center" wrapText="1" indent="3"/>
    </xf>
    <xf numFmtId="0" fontId="31" fillId="33" borderId="78" xfId="0" applyFont="1" applyFill="1" applyBorder="1" applyAlignment="1">
      <alignment horizontal="left" vertical="center" wrapText="1" indent="3"/>
    </xf>
    <xf numFmtId="0" fontId="4" fillId="0" borderId="18" xfId="0" applyFont="1" applyBorder="1" applyAlignment="1">
      <alignment horizontal="left" vertical="center" indent="1"/>
    </xf>
    <xf numFmtId="0" fontId="4" fillId="0" borderId="73" xfId="0" applyFont="1" applyBorder="1" applyAlignment="1">
      <alignment horizontal="left" vertical="center" indent="1"/>
    </xf>
    <xf numFmtId="0" fontId="34" fillId="33" borderId="10" xfId="0" applyFont="1" applyFill="1" applyBorder="1" applyAlignment="1">
      <alignment horizontal="center"/>
    </xf>
    <xf numFmtId="0" fontId="28" fillId="0" borderId="71" xfId="0" applyFont="1" applyBorder="1" applyAlignment="1">
      <alignment horizontal="right" vertical="center"/>
    </xf>
    <xf numFmtId="0" fontId="28" fillId="0" borderId="79" xfId="0" applyFont="1" applyBorder="1" applyAlignment="1">
      <alignment horizontal="right" vertical="center"/>
    </xf>
    <xf numFmtId="0" fontId="28" fillId="0" borderId="44" xfId="0" applyFont="1" applyBorder="1" applyAlignment="1">
      <alignment horizontal="right" vertical="center"/>
    </xf>
    <xf numFmtId="0" fontId="28" fillId="0" borderId="45" xfId="0" applyFont="1" applyBorder="1" applyAlignment="1">
      <alignment horizontal="right" vertical="center"/>
    </xf>
    <xf numFmtId="206" fontId="15" fillId="33" borderId="17" xfId="0" applyNumberFormat="1" applyFont="1" applyFill="1" applyBorder="1" applyAlignment="1">
      <alignment horizontal="left"/>
    </xf>
    <xf numFmtId="206" fontId="15" fillId="33" borderId="0" xfId="0" applyNumberFormat="1" applyFont="1" applyFill="1" applyBorder="1" applyAlignment="1">
      <alignment horizontal="left"/>
    </xf>
    <xf numFmtId="0" fontId="7" fillId="34" borderId="36" xfId="0" applyFont="1" applyFill="1" applyBorder="1" applyAlignment="1">
      <alignment horizontal="left" vertical="center"/>
    </xf>
    <xf numFmtId="0" fontId="7" fillId="34" borderId="30" xfId="0" applyFont="1" applyFill="1" applyBorder="1" applyAlignment="1">
      <alignment horizontal="left" vertical="center"/>
    </xf>
    <xf numFmtId="17" fontId="30" fillId="0" borderId="17" xfId="0" applyNumberFormat="1" applyFont="1" applyFill="1" applyBorder="1" applyAlignment="1" applyProtection="1">
      <alignment horizontal="center"/>
      <protection/>
    </xf>
    <xf numFmtId="17" fontId="30" fillId="0" borderId="0" xfId="0" applyNumberFormat="1" applyFont="1" applyFill="1" applyBorder="1" applyAlignment="1" applyProtection="1">
      <alignment horizontal="center"/>
      <protection/>
    </xf>
    <xf numFmtId="17" fontId="30" fillId="0" borderId="11" xfId="0" applyNumberFormat="1" applyFont="1" applyFill="1" applyBorder="1" applyAlignment="1" applyProtection="1">
      <alignment horizontal="center"/>
      <protection/>
    </xf>
    <xf numFmtId="0" fontId="14" fillId="9" borderId="15" xfId="0" applyFont="1" applyFill="1" applyBorder="1" applyAlignment="1" applyProtection="1">
      <alignment horizontal="left" vertical="center"/>
      <protection locked="0"/>
    </xf>
    <xf numFmtId="0" fontId="7" fillId="34" borderId="7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 indent="1"/>
    </xf>
    <xf numFmtId="0" fontId="4" fillId="0" borderId="73" xfId="0" applyFont="1" applyBorder="1" applyAlignment="1">
      <alignment horizontal="left" vertical="center" wrapText="1" indent="1"/>
    </xf>
    <xf numFmtId="0" fontId="7" fillId="34" borderId="71" xfId="0" applyFont="1" applyFill="1" applyBorder="1" applyAlignment="1">
      <alignment horizontal="left" vertical="center" indent="1"/>
    </xf>
    <xf numFmtId="0" fontId="7" fillId="34" borderId="60" xfId="0" applyFont="1" applyFill="1" applyBorder="1" applyAlignment="1">
      <alignment horizontal="left" vertical="center" indent="1"/>
    </xf>
    <xf numFmtId="0" fontId="7" fillId="34" borderId="79" xfId="0" applyFont="1" applyFill="1" applyBorder="1" applyAlignment="1">
      <alignment horizontal="left" vertical="center" indent="1"/>
    </xf>
    <xf numFmtId="0" fontId="7" fillId="34" borderId="18" xfId="0" applyFont="1" applyFill="1" applyBorder="1" applyAlignment="1">
      <alignment horizontal="left" vertical="center" indent="1"/>
    </xf>
    <xf numFmtId="0" fontId="7" fillId="34" borderId="10" xfId="0" applyFont="1" applyFill="1" applyBorder="1" applyAlignment="1">
      <alignment horizontal="left" vertical="center" indent="1"/>
    </xf>
    <xf numFmtId="0" fontId="7" fillId="34" borderId="73" xfId="0" applyFont="1" applyFill="1" applyBorder="1" applyAlignment="1">
      <alignment horizontal="left" vertical="center" indent="1"/>
    </xf>
    <xf numFmtId="0" fontId="4" fillId="0" borderId="19" xfId="0" applyFont="1" applyBorder="1" applyAlignment="1">
      <alignment horizontal="left" indent="1"/>
    </xf>
    <xf numFmtId="0" fontId="4" fillId="0" borderId="50" xfId="0" applyFont="1" applyBorder="1" applyAlignment="1">
      <alignment horizontal="left" indent="1"/>
    </xf>
    <xf numFmtId="0" fontId="0" fillId="9" borderId="0" xfId="0" applyFill="1" applyAlignment="1">
      <alignment horizontal="center"/>
    </xf>
    <xf numFmtId="0" fontId="7" fillId="34" borderId="20" xfId="0" applyFont="1" applyFill="1" applyBorder="1" applyAlignment="1">
      <alignment horizontal="left" vertical="center" indent="1"/>
    </xf>
    <xf numFmtId="0" fontId="7" fillId="34" borderId="14" xfId="0" applyFont="1" applyFill="1" applyBorder="1" applyAlignment="1">
      <alignment horizontal="left" vertical="center" indent="1"/>
    </xf>
    <xf numFmtId="0" fontId="7" fillId="34" borderId="57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/>
    </xf>
    <xf numFmtId="17" fontId="30" fillId="0" borderId="0" xfId="0" applyNumberFormat="1" applyFont="1" applyFill="1" applyBorder="1" applyAlignment="1">
      <alignment horizontal="center"/>
    </xf>
    <xf numFmtId="0" fontId="7" fillId="36" borderId="71" xfId="0" applyFont="1" applyFill="1" applyBorder="1" applyAlignment="1">
      <alignment horizontal="right" vertical="center" indent="2"/>
    </xf>
    <xf numFmtId="0" fontId="7" fillId="36" borderId="60" xfId="0" applyFont="1" applyFill="1" applyBorder="1" applyAlignment="1">
      <alignment horizontal="right" vertical="center" indent="2"/>
    </xf>
    <xf numFmtId="0" fontId="7" fillId="36" borderId="79" xfId="0" applyFont="1" applyFill="1" applyBorder="1" applyAlignment="1">
      <alignment horizontal="right" vertical="center" indent="2"/>
    </xf>
    <xf numFmtId="0" fontId="7" fillId="36" borderId="20" xfId="0" applyFont="1" applyFill="1" applyBorder="1" applyAlignment="1">
      <alignment horizontal="right" vertical="center" indent="2"/>
    </xf>
    <xf numFmtId="0" fontId="7" fillId="36" borderId="14" xfId="0" applyFont="1" applyFill="1" applyBorder="1" applyAlignment="1">
      <alignment horizontal="right" vertical="center" indent="2"/>
    </xf>
    <xf numFmtId="0" fontId="7" fillId="36" borderId="21" xfId="0" applyFont="1" applyFill="1" applyBorder="1" applyAlignment="1">
      <alignment horizontal="right" vertical="center" indent="2"/>
    </xf>
    <xf numFmtId="0" fontId="7" fillId="36" borderId="22" xfId="0" applyFont="1" applyFill="1" applyBorder="1" applyAlignment="1">
      <alignment horizontal="right" vertical="center" indent="2"/>
    </xf>
    <xf numFmtId="0" fontId="7" fillId="36" borderId="80" xfId="0" applyFont="1" applyFill="1" applyBorder="1" applyAlignment="1">
      <alignment horizontal="right" vertical="center" indent="2"/>
    </xf>
    <xf numFmtId="0" fontId="2" fillId="36" borderId="36" xfId="0" applyFont="1" applyFill="1" applyBorder="1" applyAlignment="1">
      <alignment horizontal="right" vertical="center"/>
    </xf>
    <xf numFmtId="0" fontId="2" fillId="36" borderId="30" xfId="0" applyFont="1" applyFill="1" applyBorder="1" applyAlignment="1">
      <alignment horizontal="right" vertical="center"/>
    </xf>
    <xf numFmtId="0" fontId="2" fillId="36" borderId="78" xfId="0" applyFont="1" applyFill="1" applyBorder="1" applyAlignment="1">
      <alignment horizontal="right" vertical="center"/>
    </xf>
    <xf numFmtId="0" fontId="3" fillId="33" borderId="81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84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indent="1"/>
    </xf>
    <xf numFmtId="0" fontId="3" fillId="0" borderId="80" xfId="0" applyFont="1" applyBorder="1" applyAlignment="1">
      <alignment horizontal="left" indent="1"/>
    </xf>
    <xf numFmtId="0" fontId="7" fillId="35" borderId="36" xfId="0" applyFont="1" applyFill="1" applyBorder="1" applyAlignment="1">
      <alignment horizontal="left"/>
    </xf>
    <xf numFmtId="0" fontId="7" fillId="35" borderId="30" xfId="0" applyFont="1" applyFill="1" applyBorder="1" applyAlignment="1">
      <alignment horizontal="left"/>
    </xf>
    <xf numFmtId="0" fontId="31" fillId="33" borderId="19" xfId="0" applyFont="1" applyFill="1" applyBorder="1" applyAlignment="1">
      <alignment horizontal="right" vertical="center"/>
    </xf>
    <xf numFmtId="0" fontId="31" fillId="33" borderId="16" xfId="0" applyFont="1" applyFill="1" applyBorder="1" applyAlignment="1">
      <alignment horizontal="right" vertical="center"/>
    </xf>
    <xf numFmtId="0" fontId="7" fillId="35" borderId="37" xfId="0" applyFont="1" applyFill="1" applyBorder="1" applyAlignment="1">
      <alignment horizontal="left" wrapText="1"/>
    </xf>
    <xf numFmtId="0" fontId="7" fillId="35" borderId="31" xfId="0" applyFont="1" applyFill="1" applyBorder="1" applyAlignment="1">
      <alignment horizontal="left" wrapText="1"/>
    </xf>
    <xf numFmtId="0" fontId="2" fillId="34" borderId="36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34" borderId="78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left" vertical="center"/>
    </xf>
    <xf numFmtId="0" fontId="21" fillId="34" borderId="16" xfId="0" applyFont="1" applyFill="1" applyBorder="1" applyAlignment="1">
      <alignment horizontal="left" vertical="center"/>
    </xf>
    <xf numFmtId="44" fontId="2" fillId="0" borderId="21" xfId="49" applyFont="1" applyFill="1" applyBorder="1" applyAlignment="1">
      <alignment horizontal="left" vertical="center"/>
    </xf>
    <xf numFmtId="44" fontId="2" fillId="0" borderId="22" xfId="49" applyFont="1" applyFill="1" applyBorder="1" applyAlignment="1">
      <alignment horizontal="left" vertical="center"/>
    </xf>
    <xf numFmtId="0" fontId="31" fillId="33" borderId="50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 indent="1"/>
    </xf>
    <xf numFmtId="0" fontId="3" fillId="0" borderId="57" xfId="0" applyFont="1" applyBorder="1" applyAlignment="1">
      <alignment horizontal="left" vertical="center" wrapText="1" indent="1"/>
    </xf>
    <xf numFmtId="0" fontId="7" fillId="36" borderId="71" xfId="0" applyFont="1" applyFill="1" applyBorder="1" applyAlignment="1">
      <alignment horizontal="right" vertical="center" indent="1"/>
    </xf>
    <xf numFmtId="0" fontId="7" fillId="36" borderId="60" xfId="0" applyFont="1" applyFill="1" applyBorder="1" applyAlignment="1">
      <alignment horizontal="right" vertical="center" indent="1"/>
    </xf>
    <xf numFmtId="0" fontId="7" fillId="36" borderId="79" xfId="0" applyFont="1" applyFill="1" applyBorder="1" applyAlignment="1">
      <alignment horizontal="right" vertical="center" indent="1"/>
    </xf>
    <xf numFmtId="0" fontId="7" fillId="36" borderId="20" xfId="0" applyFont="1" applyFill="1" applyBorder="1" applyAlignment="1">
      <alignment horizontal="right" vertical="center" indent="1"/>
    </xf>
    <xf numFmtId="0" fontId="7" fillId="36" borderId="14" xfId="0" applyFont="1" applyFill="1" applyBorder="1" applyAlignment="1">
      <alignment horizontal="right" vertical="center" indent="1"/>
    </xf>
    <xf numFmtId="0" fontId="7" fillId="36" borderId="21" xfId="0" applyFont="1" applyFill="1" applyBorder="1" applyAlignment="1">
      <alignment horizontal="right" vertical="center" indent="1"/>
    </xf>
    <xf numFmtId="0" fontId="7" fillId="36" borderId="22" xfId="0" applyFont="1" applyFill="1" applyBorder="1" applyAlignment="1">
      <alignment horizontal="right" vertical="center" indent="1"/>
    </xf>
    <xf numFmtId="0" fontId="7" fillId="36" borderId="80" xfId="0" applyFont="1" applyFill="1" applyBorder="1" applyAlignment="1">
      <alignment horizontal="right" vertical="center" indent="1"/>
    </xf>
    <xf numFmtId="0" fontId="36" fillId="33" borderId="1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right" vertical="center" indent="1"/>
    </xf>
    <xf numFmtId="0" fontId="7" fillId="34" borderId="22" xfId="0" applyFont="1" applyFill="1" applyBorder="1" applyAlignment="1">
      <alignment horizontal="right" vertical="center" indent="1"/>
    </xf>
    <xf numFmtId="0" fontId="7" fillId="34" borderId="80" xfId="0" applyFont="1" applyFill="1" applyBorder="1" applyAlignment="1">
      <alignment horizontal="right" vertical="center" indent="1"/>
    </xf>
    <xf numFmtId="0" fontId="7" fillId="35" borderId="78" xfId="0" applyFont="1" applyFill="1" applyBorder="1" applyAlignment="1">
      <alignment horizontal="left"/>
    </xf>
    <xf numFmtId="0" fontId="7" fillId="35" borderId="37" xfId="0" applyFont="1" applyFill="1" applyBorder="1" applyAlignment="1">
      <alignment horizontal="center" wrapText="1"/>
    </xf>
    <xf numFmtId="0" fontId="7" fillId="35" borderId="31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80" xfId="0" applyFont="1" applyBorder="1" applyAlignment="1">
      <alignment horizontal="left" vertical="center" wrapText="1" indent="1"/>
    </xf>
    <xf numFmtId="0" fontId="26" fillId="35" borderId="0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center"/>
      <protection/>
    </xf>
    <xf numFmtId="17" fontId="17" fillId="0" borderId="0" xfId="0" applyNumberFormat="1" applyFont="1" applyFill="1" applyBorder="1" applyAlignment="1" applyProtection="1">
      <alignment horizontal="center"/>
      <protection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4" xfId="0" applyFont="1" applyFill="1" applyBorder="1" applyAlignment="1" applyProtection="1">
      <alignment horizontal="left"/>
      <protection/>
    </xf>
    <xf numFmtId="0" fontId="7" fillId="36" borderId="57" xfId="0" applyFont="1" applyFill="1" applyBorder="1" applyAlignment="1" applyProtection="1">
      <alignment horizontal="left"/>
      <protection/>
    </xf>
    <xf numFmtId="0" fontId="7" fillId="36" borderId="71" xfId="0" applyFont="1" applyFill="1" applyBorder="1" applyAlignment="1" applyProtection="1">
      <alignment horizontal="right" vertical="center" indent="1"/>
      <protection/>
    </xf>
    <xf numFmtId="0" fontId="7" fillId="36" borderId="60" xfId="0" applyFont="1" applyFill="1" applyBorder="1" applyAlignment="1" applyProtection="1">
      <alignment horizontal="right" vertical="center" indent="1"/>
      <protection/>
    </xf>
    <xf numFmtId="0" fontId="7" fillId="36" borderId="79" xfId="0" applyFont="1" applyFill="1" applyBorder="1" applyAlignment="1" applyProtection="1">
      <alignment horizontal="right" vertical="center" indent="1"/>
      <protection/>
    </xf>
    <xf numFmtId="0" fontId="7" fillId="36" borderId="20" xfId="0" applyFont="1" applyFill="1" applyBorder="1" applyAlignment="1" applyProtection="1">
      <alignment horizontal="right" vertical="center" indent="1"/>
      <protection/>
    </xf>
    <xf numFmtId="0" fontId="7" fillId="36" borderId="14" xfId="0" applyFont="1" applyFill="1" applyBorder="1" applyAlignment="1" applyProtection="1">
      <alignment horizontal="right" vertical="center" indent="1"/>
      <protection/>
    </xf>
    <xf numFmtId="0" fontId="7" fillId="36" borderId="57" xfId="0" applyFont="1" applyFill="1" applyBorder="1" applyAlignment="1" applyProtection="1">
      <alignment horizontal="right" vertical="center" indent="1"/>
      <protection/>
    </xf>
    <xf numFmtId="0" fontId="3" fillId="0" borderId="20" xfId="0" applyFont="1" applyBorder="1" applyAlignment="1">
      <alignment horizontal="left" vertical="center" indent="1"/>
    </xf>
    <xf numFmtId="0" fontId="3" fillId="0" borderId="57" xfId="0" applyFont="1" applyBorder="1" applyAlignment="1">
      <alignment horizontal="left" vertical="center" indent="1"/>
    </xf>
    <xf numFmtId="0" fontId="3" fillId="0" borderId="21" xfId="0" applyFont="1" applyBorder="1" applyAlignment="1" applyProtection="1">
      <alignment horizontal="left" vertical="center" wrapText="1" indent="1"/>
      <protection/>
    </xf>
    <xf numFmtId="0" fontId="3" fillId="0" borderId="80" xfId="0" applyFont="1" applyBorder="1" applyAlignment="1" applyProtection="1">
      <alignment horizontal="left" vertical="center" wrapText="1" indent="1"/>
      <protection/>
    </xf>
    <xf numFmtId="0" fontId="7" fillId="36" borderId="21" xfId="0" applyFont="1" applyFill="1" applyBorder="1" applyAlignment="1" applyProtection="1">
      <alignment horizontal="right" vertical="center" indent="1"/>
      <protection/>
    </xf>
    <xf numFmtId="0" fontId="7" fillId="36" borderId="22" xfId="0" applyFont="1" applyFill="1" applyBorder="1" applyAlignment="1" applyProtection="1">
      <alignment horizontal="right" vertical="center" indent="1"/>
      <protection/>
    </xf>
    <xf numFmtId="0" fontId="7" fillId="36" borderId="80" xfId="0" applyFont="1" applyFill="1" applyBorder="1" applyAlignment="1" applyProtection="1">
      <alignment horizontal="right" vertical="center" indent="1"/>
      <protection/>
    </xf>
    <xf numFmtId="0" fontId="88" fillId="0" borderId="10" xfId="0" applyFont="1" applyBorder="1" applyAlignment="1">
      <alignment horizontal="center" vertical="top"/>
    </xf>
    <xf numFmtId="0" fontId="8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899">
    <dxf>
      <font>
        <color rgb="FF9C0006"/>
      </font>
    </dxf>
    <dxf>
      <font>
        <color rgb="FF9C0006"/>
      </font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package" Target="../embeddings/Microsoft_Word___7.docx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zoomScalePageLayoutView="0" workbookViewId="0" topLeftCell="B1">
      <selection activeCell="B17" sqref="B17"/>
    </sheetView>
  </sheetViews>
  <sheetFormatPr defaultColWidth="11.421875" defaultRowHeight="15"/>
  <cols>
    <col min="2" max="2" width="70.00390625" style="0" customWidth="1"/>
    <col min="3" max="3" width="37.421875" style="0" customWidth="1"/>
    <col min="4" max="4" width="49.140625" style="0" customWidth="1"/>
    <col min="5" max="5" width="57.57421875" style="0" customWidth="1"/>
  </cols>
  <sheetData>
    <row r="1" ht="15.75" thickBot="1"/>
    <row r="2" spans="2:5" ht="25.5">
      <c r="B2" s="454" t="s">
        <v>0</v>
      </c>
      <c r="C2" s="455"/>
      <c r="D2" s="455"/>
      <c r="E2" s="456"/>
    </row>
    <row r="3" spans="2:5" ht="15.75" customHeight="1">
      <c r="B3" s="41" t="s">
        <v>18</v>
      </c>
      <c r="C3" s="42"/>
      <c r="D3" s="42"/>
      <c r="E3" s="43"/>
    </row>
    <row r="4" spans="2:5" ht="20.25">
      <c r="B4" s="457" t="s">
        <v>20</v>
      </c>
      <c r="C4" s="458"/>
      <c r="D4" s="458"/>
      <c r="E4" s="459"/>
    </row>
    <row r="5" spans="2:5" ht="15">
      <c r="B5" s="44"/>
      <c r="C5" s="45"/>
      <c r="D5" s="45"/>
      <c r="E5" s="46"/>
    </row>
    <row r="6" spans="2:5" ht="27" customHeight="1">
      <c r="B6" s="460" t="s">
        <v>21</v>
      </c>
      <c r="C6" s="461"/>
      <c r="D6" s="461"/>
      <c r="E6" s="462"/>
    </row>
    <row r="7" spans="2:5" ht="15.75" thickBot="1">
      <c r="B7" s="47"/>
      <c r="C7" s="1"/>
      <c r="D7" s="1"/>
      <c r="E7" s="48"/>
    </row>
    <row r="8" spans="2:5" ht="15">
      <c r="B8" s="49"/>
      <c r="C8" s="23"/>
      <c r="D8" s="23"/>
      <c r="E8" s="50"/>
    </row>
    <row r="9" spans="2:5" ht="15">
      <c r="B9" s="49"/>
      <c r="C9" s="23"/>
      <c r="D9" s="23"/>
      <c r="E9" s="50"/>
    </row>
    <row r="10" spans="2:5" ht="15">
      <c r="B10" s="49"/>
      <c r="C10" s="23"/>
      <c r="D10" s="23"/>
      <c r="E10" s="50"/>
    </row>
    <row r="11" spans="2:5" ht="15.75" thickBot="1">
      <c r="B11" s="49"/>
      <c r="C11" s="23"/>
      <c r="D11" s="1"/>
      <c r="E11" s="48"/>
    </row>
    <row r="12" spans="2:5" ht="15.75">
      <c r="B12" s="51" t="s">
        <v>9</v>
      </c>
      <c r="C12" s="17" t="s">
        <v>7</v>
      </c>
      <c r="D12" s="35" t="s">
        <v>22</v>
      </c>
      <c r="E12" s="26" t="s">
        <v>8</v>
      </c>
    </row>
    <row r="13" spans="2:5" ht="15.75">
      <c r="B13" s="52" t="s">
        <v>18</v>
      </c>
      <c r="C13" s="2"/>
      <c r="D13" s="24" t="s">
        <v>18</v>
      </c>
      <c r="E13" s="4"/>
    </row>
    <row r="14" spans="2:5" ht="15.75">
      <c r="B14" s="52" t="s">
        <v>18</v>
      </c>
      <c r="C14" s="2"/>
      <c r="D14" s="5" t="s">
        <v>18</v>
      </c>
      <c r="E14" s="4"/>
    </row>
    <row r="15" spans="2:5" ht="15.75">
      <c r="B15" s="52" t="s">
        <v>18</v>
      </c>
      <c r="C15" s="2"/>
      <c r="D15" s="3"/>
      <c r="E15" s="4">
        <v>0</v>
      </c>
    </row>
    <row r="16" spans="2:5" ht="15.75">
      <c r="B16" s="53" t="s">
        <v>18</v>
      </c>
      <c r="C16" s="2"/>
      <c r="D16" s="3"/>
      <c r="E16" s="4"/>
    </row>
    <row r="17" spans="2:5" ht="15.75">
      <c r="B17" s="53" t="s">
        <v>18</v>
      </c>
      <c r="C17" s="2"/>
      <c r="D17" s="5"/>
      <c r="E17" s="4"/>
    </row>
    <row r="18" spans="2:5" ht="15">
      <c r="B18" s="54"/>
      <c r="C18" s="2"/>
      <c r="D18" s="5"/>
      <c r="E18" s="4"/>
    </row>
    <row r="19" spans="2:5" ht="15">
      <c r="B19" s="54"/>
      <c r="C19" s="2"/>
      <c r="D19" s="5"/>
      <c r="E19" s="4"/>
    </row>
    <row r="20" spans="2:5" ht="15">
      <c r="B20" s="54"/>
      <c r="C20" s="2"/>
      <c r="D20" s="5"/>
      <c r="E20" s="4"/>
    </row>
    <row r="21" spans="2:5" ht="15">
      <c r="B21" s="55"/>
      <c r="C21" s="2"/>
      <c r="D21" s="6"/>
      <c r="E21" s="4"/>
    </row>
    <row r="22" spans="2:5" ht="15.75">
      <c r="B22" s="56" t="s">
        <v>1</v>
      </c>
      <c r="C22" s="19">
        <f>SUM(C13:C21)</f>
        <v>0</v>
      </c>
      <c r="D22" s="38" t="s">
        <v>2</v>
      </c>
      <c r="E22" s="71">
        <f>SUM(E13:E21)</f>
        <v>0</v>
      </c>
    </row>
    <row r="23" spans="2:5" ht="15.75" thickBot="1">
      <c r="B23" s="57"/>
      <c r="C23" s="8"/>
      <c r="D23" s="9"/>
      <c r="E23" s="10"/>
    </row>
    <row r="24" spans="2:5" ht="15.75">
      <c r="B24" s="58" t="s">
        <v>3</v>
      </c>
      <c r="C24" s="15"/>
      <c r="D24" s="36" t="s">
        <v>23</v>
      </c>
      <c r="E24" s="16"/>
    </row>
    <row r="25" spans="2:5" ht="15">
      <c r="B25" s="54" t="s">
        <v>18</v>
      </c>
      <c r="C25" s="27"/>
      <c r="D25" s="20" t="s">
        <v>18</v>
      </c>
      <c r="E25" s="11"/>
    </row>
    <row r="26" spans="2:5" ht="15">
      <c r="B26" s="54" t="s">
        <v>18</v>
      </c>
      <c r="C26" s="27"/>
      <c r="D26" s="20" t="s">
        <v>18</v>
      </c>
      <c r="E26" s="11"/>
    </row>
    <row r="27" spans="2:5" ht="15">
      <c r="B27" s="54" t="s">
        <v>18</v>
      </c>
      <c r="C27" s="27"/>
      <c r="D27" s="20" t="s">
        <v>18</v>
      </c>
      <c r="E27" s="11"/>
    </row>
    <row r="28" spans="2:5" ht="15">
      <c r="B28" s="54" t="s">
        <v>18</v>
      </c>
      <c r="C28" s="27"/>
      <c r="D28" s="20" t="s">
        <v>18</v>
      </c>
      <c r="E28" s="12"/>
    </row>
    <row r="29" spans="2:5" ht="15">
      <c r="B29" s="54"/>
      <c r="C29" s="27"/>
      <c r="D29" s="20" t="s">
        <v>18</v>
      </c>
      <c r="E29" s="12"/>
    </row>
    <row r="30" spans="2:5" ht="15">
      <c r="B30" s="54"/>
      <c r="C30" s="27"/>
      <c r="D30" s="20" t="s">
        <v>18</v>
      </c>
      <c r="E30" s="11"/>
    </row>
    <row r="31" spans="2:5" ht="15">
      <c r="B31" s="54"/>
      <c r="C31" s="27" t="s">
        <v>18</v>
      </c>
      <c r="D31" s="20" t="s">
        <v>18</v>
      </c>
      <c r="E31" s="11"/>
    </row>
    <row r="32" spans="2:5" ht="15">
      <c r="B32" s="54"/>
      <c r="C32" s="27"/>
      <c r="D32" s="25"/>
      <c r="E32" s="11"/>
    </row>
    <row r="33" spans="2:5" ht="15">
      <c r="B33" s="54"/>
      <c r="C33" s="27"/>
      <c r="D33" s="20" t="s">
        <v>18</v>
      </c>
      <c r="E33" s="11"/>
    </row>
    <row r="34" spans="2:5" ht="15">
      <c r="B34" s="54"/>
      <c r="C34" s="27"/>
      <c r="D34" s="20" t="s">
        <v>18</v>
      </c>
      <c r="E34" s="11"/>
    </row>
    <row r="35" spans="2:5" ht="15">
      <c r="B35" s="54"/>
      <c r="C35" s="27"/>
      <c r="D35" s="20" t="s">
        <v>18</v>
      </c>
      <c r="E35" s="11"/>
    </row>
    <row r="36" spans="2:5" ht="15">
      <c r="B36" s="54"/>
      <c r="C36" s="27"/>
      <c r="D36" s="59" t="s">
        <v>18</v>
      </c>
      <c r="E36" s="27"/>
    </row>
    <row r="37" spans="2:5" ht="15">
      <c r="B37" s="54"/>
      <c r="C37" s="27"/>
      <c r="D37" s="59"/>
      <c r="E37" s="27"/>
    </row>
    <row r="38" spans="2:5" ht="15">
      <c r="B38" s="60"/>
      <c r="C38" s="27"/>
      <c r="D38" s="7"/>
      <c r="E38" s="28"/>
    </row>
    <row r="39" spans="2:5" ht="15.75">
      <c r="B39" s="61" t="s">
        <v>5</v>
      </c>
      <c r="C39" s="18">
        <f>SUM(C25:C38)</f>
        <v>0</v>
      </c>
      <c r="D39" s="40" t="s">
        <v>6</v>
      </c>
      <c r="E39" s="29">
        <f>SUM(E25:E38)</f>
        <v>0</v>
      </c>
    </row>
    <row r="40" spans="2:5" ht="15">
      <c r="B40" s="55"/>
      <c r="C40" s="27"/>
      <c r="D40" s="14"/>
      <c r="E40" s="30"/>
    </row>
    <row r="41" spans="2:5" ht="15.75">
      <c r="B41" s="62" t="s">
        <v>16</v>
      </c>
      <c r="C41" s="21">
        <f>C22+C39</f>
        <v>0</v>
      </c>
      <c r="D41" s="37" t="s">
        <v>17</v>
      </c>
      <c r="E41" s="31">
        <f>E22+E39</f>
        <v>0</v>
      </c>
    </row>
    <row r="42" spans="2:5" ht="15">
      <c r="B42" s="63" t="s">
        <v>10</v>
      </c>
      <c r="C42" s="59"/>
      <c r="D42" s="64" t="s">
        <v>11</v>
      </c>
      <c r="E42" s="4"/>
    </row>
    <row r="43" spans="2:5" ht="15.75">
      <c r="B43" s="55"/>
      <c r="C43" s="59"/>
      <c r="D43" s="39" t="s">
        <v>19</v>
      </c>
      <c r="E43" s="32"/>
    </row>
    <row r="44" spans="2:5" ht="15">
      <c r="B44" s="55"/>
      <c r="C44" s="59"/>
      <c r="D44" s="59" t="s">
        <v>18</v>
      </c>
      <c r="E44" s="27"/>
    </row>
    <row r="45" spans="2:5" ht="15">
      <c r="B45" s="55"/>
      <c r="C45" s="59"/>
      <c r="D45" s="59"/>
      <c r="E45" s="27"/>
    </row>
    <row r="46" spans="2:5" ht="15.75">
      <c r="B46" s="65" t="s">
        <v>13</v>
      </c>
      <c r="C46" s="22">
        <f>SUM(C43:C45)</f>
        <v>0</v>
      </c>
      <c r="D46" s="37" t="s">
        <v>12</v>
      </c>
      <c r="E46" s="33">
        <f>SUM(E43:E45)</f>
        <v>0</v>
      </c>
    </row>
    <row r="47" spans="2:5" ht="15">
      <c r="B47" s="55"/>
      <c r="C47" s="6"/>
      <c r="D47" s="6"/>
      <c r="E47" s="27"/>
    </row>
    <row r="48" spans="2:5" ht="15">
      <c r="B48" s="55"/>
      <c r="C48" s="6"/>
      <c r="D48" s="6"/>
      <c r="E48" s="27"/>
    </row>
    <row r="49" spans="2:5" ht="15.75">
      <c r="B49" s="62" t="s">
        <v>14</v>
      </c>
      <c r="C49" s="21">
        <f>C41+C46</f>
        <v>0</v>
      </c>
      <c r="D49" s="37" t="s">
        <v>15</v>
      </c>
      <c r="E49" s="34">
        <f>E41+E46</f>
        <v>0</v>
      </c>
    </row>
    <row r="50" spans="2:6" ht="15">
      <c r="B50" s="55"/>
      <c r="C50" s="59"/>
      <c r="D50" s="66"/>
      <c r="E50" s="4"/>
      <c r="F50" s="13"/>
    </row>
    <row r="51" spans="2:5" ht="15">
      <c r="B51" s="55"/>
      <c r="C51" s="6"/>
      <c r="D51" s="6"/>
      <c r="E51" s="27"/>
    </row>
    <row r="52" spans="2:5" ht="16.5" thickBot="1">
      <c r="B52" s="67" t="s">
        <v>4</v>
      </c>
      <c r="C52" s="68"/>
      <c r="D52" s="69"/>
      <c r="E52" s="70">
        <f>C49-E49</f>
        <v>0</v>
      </c>
    </row>
  </sheetData>
  <sheetProtection/>
  <mergeCells count="3">
    <mergeCell ref="B2:E2"/>
    <mergeCell ref="B4:E4"/>
    <mergeCell ref="B6:E6"/>
  </mergeCells>
  <conditionalFormatting sqref="E52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43"/>
  <sheetViews>
    <sheetView showZeros="0" zoomScale="90" zoomScaleNormal="90" zoomScalePageLayoutView="0" workbookViewId="0" topLeftCell="A2">
      <selection activeCell="B2" sqref="B2:F2"/>
    </sheetView>
  </sheetViews>
  <sheetFormatPr defaultColWidth="11.421875" defaultRowHeight="15"/>
  <cols>
    <col min="1" max="1" width="4.28125" style="0" customWidth="1"/>
    <col min="2" max="2" width="42.28125" style="0" customWidth="1"/>
    <col min="3" max="3" width="10.8515625" style="0" customWidth="1"/>
    <col min="4" max="4" width="12.7109375" style="0" customWidth="1"/>
    <col min="5" max="5" width="39.8515625" style="0" customWidth="1"/>
    <col min="6" max="6" width="14.8515625" style="0" customWidth="1"/>
    <col min="7" max="7" width="2.28125" style="0" customWidth="1"/>
  </cols>
  <sheetData>
    <row r="1" ht="15.75" hidden="1" thickBot="1"/>
    <row r="2" spans="2:6" ht="26.25">
      <c r="B2" s="467" t="s">
        <v>72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96" t="str">
        <f>1!B4:F4</f>
        <v>Tomates beefsteak (culture)</v>
      </c>
      <c r="C4" s="497"/>
      <c r="D4" s="497"/>
      <c r="E4" s="497"/>
      <c r="F4" s="498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25</v>
      </c>
      <c r="D6" s="473"/>
      <c r="E6" s="473"/>
      <c r="F6" s="474"/>
    </row>
    <row r="7" spans="2:7" ht="15">
      <c r="B7" s="86" t="s">
        <v>150</v>
      </c>
      <c r="C7" s="160"/>
      <c r="D7" s="342">
        <f>1!D7</f>
        <v>13</v>
      </c>
      <c r="E7" s="350" t="s">
        <v>53</v>
      </c>
      <c r="F7" s="344">
        <v>6000</v>
      </c>
      <c r="G7" s="80"/>
    </row>
    <row r="8" spans="2:6" ht="15">
      <c r="B8" s="86" t="s">
        <v>39</v>
      </c>
      <c r="C8" s="159"/>
      <c r="D8" s="345">
        <f>1!D8</f>
        <v>500</v>
      </c>
      <c r="E8" s="351" t="s">
        <v>34</v>
      </c>
      <c r="F8" s="347">
        <v>10</v>
      </c>
    </row>
    <row r="9" spans="2:7" ht="15.75" thickBot="1">
      <c r="B9" s="485" t="s">
        <v>131</v>
      </c>
      <c r="C9" s="486"/>
      <c r="D9" s="348">
        <f>1!$D$9</f>
        <v>0.7</v>
      </c>
      <c r="E9" s="352" t="s">
        <v>42</v>
      </c>
      <c r="F9" s="348">
        <f>1!F9</f>
        <v>0.05</v>
      </c>
      <c r="G9" s="82"/>
    </row>
    <row r="10" spans="2:6" ht="16.5" customHeight="1">
      <c r="B10" s="51" t="s">
        <v>9</v>
      </c>
      <c r="C10" s="73"/>
      <c r="D10" s="17" t="s">
        <v>7</v>
      </c>
      <c r="E10" s="87" t="s">
        <v>22</v>
      </c>
      <c r="F10" s="88" t="s">
        <v>8</v>
      </c>
    </row>
    <row r="11" spans="2:6" ht="15.75">
      <c r="B11" s="176" t="s">
        <v>18</v>
      </c>
      <c r="C11" s="177"/>
      <c r="D11" s="178"/>
      <c r="E11" s="179" t="s">
        <v>18</v>
      </c>
      <c r="F11" s="178"/>
    </row>
    <row r="12" spans="2:6" ht="15.75">
      <c r="B12" s="176" t="s">
        <v>18</v>
      </c>
      <c r="C12" s="177"/>
      <c r="D12" s="180"/>
      <c r="E12" s="181"/>
      <c r="F12" s="180"/>
    </row>
    <row r="13" spans="2:6" ht="16.5" thickBot="1">
      <c r="B13" s="89" t="s">
        <v>1</v>
      </c>
      <c r="C13" s="90"/>
      <c r="D13" s="114">
        <f>SUM(D11:D12)</f>
        <v>0</v>
      </c>
      <c r="E13" s="91" t="s">
        <v>2</v>
      </c>
      <c r="F13" s="114">
        <f>SUM(F11:F12)</f>
        <v>0</v>
      </c>
    </row>
    <row r="14" spans="2:6" ht="3.75" customHeight="1" thickBot="1">
      <c r="B14" s="57"/>
      <c r="C14" s="9"/>
      <c r="D14" s="8"/>
      <c r="E14" s="9"/>
      <c r="F14" s="10"/>
    </row>
    <row r="15" spans="2:6" ht="15.75">
      <c r="B15" s="58" t="s">
        <v>3</v>
      </c>
      <c r="C15" s="76"/>
      <c r="D15" s="15"/>
      <c r="E15" s="36" t="s">
        <v>23</v>
      </c>
      <c r="F15" s="16"/>
    </row>
    <row r="16" spans="2:6" ht="15">
      <c r="B16" s="54"/>
      <c r="C16" s="327" t="s">
        <v>135</v>
      </c>
      <c r="D16" s="326" t="s">
        <v>133</v>
      </c>
      <c r="E16" s="20" t="s">
        <v>18</v>
      </c>
      <c r="F16" s="326" t="s">
        <v>38</v>
      </c>
    </row>
    <row r="17" spans="1:6" ht="15">
      <c r="A17" s="79"/>
      <c r="B17" s="84" t="s">
        <v>48</v>
      </c>
      <c r="C17" s="77"/>
      <c r="D17" s="27"/>
      <c r="E17" s="323" t="s">
        <v>94</v>
      </c>
      <c r="F17" s="309"/>
    </row>
    <row r="18" spans="1:6" ht="15" customHeight="1">
      <c r="A18" s="117"/>
      <c r="B18" s="311" t="s">
        <v>93</v>
      </c>
      <c r="C18" s="304">
        <v>0.29</v>
      </c>
      <c r="D18" s="307">
        <f>C18*$D$7</f>
        <v>3.7699999999999996</v>
      </c>
      <c r="E18" s="452">
        <v>0.05</v>
      </c>
      <c r="F18" s="309">
        <f>F7*0.05/5</f>
        <v>60</v>
      </c>
    </row>
    <row r="19" spans="1:6" ht="15">
      <c r="A19" s="117"/>
      <c r="B19" s="311"/>
      <c r="C19" s="304"/>
      <c r="D19" s="307">
        <f aca="true" t="shared" si="0" ref="D19:D24">C19*$D$8</f>
        <v>0</v>
      </c>
      <c r="E19" s="323" t="s">
        <v>18</v>
      </c>
      <c r="F19" s="309"/>
    </row>
    <row r="20" spans="1:7" ht="25.5">
      <c r="A20" s="117"/>
      <c r="B20" s="312" t="s">
        <v>47</v>
      </c>
      <c r="C20" s="175"/>
      <c r="D20" s="308">
        <f t="shared" si="0"/>
        <v>0</v>
      </c>
      <c r="E20" s="323"/>
      <c r="F20" s="309"/>
      <c r="G20" s="82"/>
    </row>
    <row r="21" spans="1:7" ht="15">
      <c r="A21" s="117"/>
      <c r="B21" s="311" t="s">
        <v>93</v>
      </c>
      <c r="C21" s="304">
        <v>38.92</v>
      </c>
      <c r="D21" s="307">
        <f>C21*$D$7</f>
        <v>505.96000000000004</v>
      </c>
      <c r="E21" s="323"/>
      <c r="F21" s="309"/>
      <c r="G21" s="79"/>
    </row>
    <row r="22" spans="1:7" ht="15">
      <c r="A22" s="117"/>
      <c r="B22" s="311"/>
      <c r="C22" s="304"/>
      <c r="D22" s="307">
        <f t="shared" si="0"/>
        <v>0</v>
      </c>
      <c r="E22" s="362" t="s">
        <v>28</v>
      </c>
      <c r="F22" s="307">
        <f>_xlfn.IFERROR(F7/F8*100/D8," ")</f>
        <v>120</v>
      </c>
      <c r="G22" s="79"/>
    </row>
    <row r="23" spans="1:7" ht="15">
      <c r="A23" s="117"/>
      <c r="B23" s="311"/>
      <c r="C23" s="304"/>
      <c r="D23" s="307">
        <f t="shared" si="0"/>
        <v>0</v>
      </c>
      <c r="E23" s="362" t="s">
        <v>52</v>
      </c>
      <c r="F23" s="307">
        <f>_xlfn.IFERROR((((-(PMT($F$9/1,$F$8*1,$F$7)))*$F$8*1-$F$7))/$F$8*100/$D$8," ")</f>
        <v>35.40548995854799</v>
      </c>
      <c r="G23" s="111"/>
    </row>
    <row r="24" spans="1:7" ht="15">
      <c r="A24" s="79"/>
      <c r="B24" s="311"/>
      <c r="C24" s="305"/>
      <c r="D24" s="307">
        <f t="shared" si="0"/>
        <v>0</v>
      </c>
      <c r="E24" s="313" t="s">
        <v>18</v>
      </c>
      <c r="F24" s="310"/>
      <c r="G24" s="79"/>
    </row>
    <row r="25" spans="1:6" ht="16.5" thickBot="1">
      <c r="A25" s="79"/>
      <c r="B25" s="89" t="s">
        <v>5</v>
      </c>
      <c r="C25" s="317">
        <f>SUM(C18:C24)</f>
        <v>39.21</v>
      </c>
      <c r="D25" s="115">
        <f>SUM(D17:D24)</f>
        <v>509.73</v>
      </c>
      <c r="E25" s="91" t="s">
        <v>6</v>
      </c>
      <c r="F25" s="116">
        <f>SUM(F17:F24)</f>
        <v>215.405489958548</v>
      </c>
    </row>
    <row r="26" spans="1:6" ht="5.25" customHeight="1">
      <c r="A26" s="79"/>
      <c r="B26" s="102"/>
      <c r="C26" s="103"/>
      <c r="D26" s="104"/>
      <c r="E26" s="105"/>
      <c r="F26" s="106"/>
    </row>
    <row r="27" spans="1:6" ht="16.5" customHeight="1" thickBot="1">
      <c r="A27" s="79"/>
      <c r="B27" s="93" t="s">
        <v>40</v>
      </c>
      <c r="C27" s="316"/>
      <c r="D27" s="95">
        <f>+D25+D13</f>
        <v>509.73</v>
      </c>
      <c r="E27" s="94" t="s">
        <v>41</v>
      </c>
      <c r="F27" s="95">
        <f>+F25+F13</f>
        <v>215.405489958548</v>
      </c>
    </row>
    <row r="28" spans="1:6" ht="29.25" customHeight="1" thickBot="1">
      <c r="A28" s="79"/>
      <c r="B28" s="483" t="s">
        <v>158</v>
      </c>
      <c r="C28" s="484"/>
      <c r="D28" s="314">
        <f>D25-D25/(1+(1-$D$9))</f>
        <v>117.63</v>
      </c>
      <c r="E28" s="96"/>
      <c r="F28" s="97"/>
    </row>
    <row r="29" spans="1:6" ht="16.5" customHeight="1" thickBot="1">
      <c r="A29" s="79"/>
      <c r="B29" s="494" t="s">
        <v>64</v>
      </c>
      <c r="C29" s="495"/>
      <c r="D29" s="495"/>
      <c r="E29" s="495"/>
      <c r="F29" s="158">
        <f>D27-F27</f>
        <v>294.324510041452</v>
      </c>
    </row>
    <row r="30" spans="1:6" ht="16.5" customHeight="1" thickBot="1">
      <c r="A30" s="79"/>
      <c r="B30" s="479" t="s">
        <v>115</v>
      </c>
      <c r="C30" s="480"/>
      <c r="D30" s="480"/>
      <c r="E30" s="480"/>
      <c r="F30" s="293">
        <f>_xlfn.IFERROR(IF((F29+F23+F22)&lt;0.005,"N/A",F7/D8*100/(F29+F23+F22))," ")</f>
        <v>2.6682676272430124</v>
      </c>
    </row>
    <row r="31" spans="1:6" s="45" customFormat="1" ht="44.25" customHeight="1">
      <c r="A31" s="100"/>
      <c r="B31" s="477" t="s">
        <v>134</v>
      </c>
      <c r="C31" s="477"/>
      <c r="D31" s="477"/>
      <c r="E31" s="477"/>
      <c r="F31" s="477"/>
    </row>
    <row r="32" spans="1:6" s="45" customFormat="1" ht="21" customHeight="1">
      <c r="A32" s="100"/>
      <c r="B32" s="478" t="s">
        <v>73</v>
      </c>
      <c r="C32" s="478"/>
      <c r="D32" s="478"/>
      <c r="E32" s="14"/>
      <c r="F32" s="101"/>
    </row>
    <row r="33" spans="1:6" s="45" customFormat="1" ht="22.5" customHeight="1" thickBot="1">
      <c r="A33" s="100"/>
      <c r="B33" s="487" t="str">
        <f>"Flux annuel moyen de trésorerie durant la période de l'emprunt. ("&amp;D8&amp;" m²)"</f>
        <v>Flux annuel moyen de trésorerie durant la période de l'emprunt. (500 m²)</v>
      </c>
      <c r="C33" s="487"/>
      <c r="D33" s="487"/>
      <c r="E33" s="487"/>
      <c r="F33" s="487"/>
    </row>
    <row r="34" spans="1:9" s="45" customFormat="1" ht="15.75" customHeight="1">
      <c r="A34" s="100"/>
      <c r="B34" s="488" t="str">
        <f>"Montant de l'emprunt  "&amp;H34*100&amp;" % de l'investissement"</f>
        <v>Montant de l'emprunt  75 % de l'investissement</v>
      </c>
      <c r="C34" s="489"/>
      <c r="D34" s="277">
        <f>H34*F7</f>
        <v>4500</v>
      </c>
      <c r="E34" s="264" t="s">
        <v>54</v>
      </c>
      <c r="F34" s="265">
        <v>4</v>
      </c>
      <c r="H34" s="276">
        <v>0.75</v>
      </c>
      <c r="I34" s="269" t="s">
        <v>99</v>
      </c>
    </row>
    <row r="35" spans="1:9" s="45" customFormat="1" ht="15.75" customHeight="1" thickBot="1">
      <c r="A35" s="100"/>
      <c r="B35" s="490" t="str">
        <f>"Durée de l'emprunt  "&amp;H35*100&amp;" % de l'amortissement"</f>
        <v>Durée de l'emprunt  50 % de l'amortissement</v>
      </c>
      <c r="C35" s="491"/>
      <c r="D35" s="278">
        <f>F8*H35</f>
        <v>5</v>
      </c>
      <c r="E35" s="266" t="s">
        <v>55</v>
      </c>
      <c r="F35" s="271">
        <f>1!F35</f>
        <v>0.05</v>
      </c>
      <c r="H35" s="276">
        <v>0.5</v>
      </c>
      <c r="I35" s="269" t="s">
        <v>117</v>
      </c>
    </row>
    <row r="36" spans="1:6" s="85" customFormat="1" ht="15.75">
      <c r="A36" s="79"/>
      <c r="B36" s="109" t="s">
        <v>49</v>
      </c>
      <c r="C36" s="107"/>
      <c r="D36" s="108"/>
      <c r="E36" s="110" t="s">
        <v>50</v>
      </c>
      <c r="F36" s="108"/>
    </row>
    <row r="37" spans="1:6" ht="15.75">
      <c r="A37" s="79"/>
      <c r="B37" s="492" t="str">
        <f>"Économies de main d'œuvre sur "&amp;D8&amp;" m²"</f>
        <v>Économies de main d'œuvre sur 500 m²</v>
      </c>
      <c r="C37" s="493"/>
      <c r="D37" s="165">
        <f>D27*$D$8/100</f>
        <v>2548.65</v>
      </c>
      <c r="E37" s="7" t="s">
        <v>69</v>
      </c>
      <c r="F37" s="112">
        <f>_xlfn.IFERROR(D34/D35," ")</f>
        <v>900</v>
      </c>
    </row>
    <row r="38" spans="2:9" ht="15.75">
      <c r="B38" s="176" t="s">
        <v>51</v>
      </c>
      <c r="C38" s="177"/>
      <c r="D38" s="174"/>
      <c r="E38" s="39" t="s">
        <v>44</v>
      </c>
      <c r="F38" s="112">
        <f>_xlfn.IFERROR((PMT(F35/F34,F34*D35,-D34)*F34*D35-D34)/D35," ")</f>
        <v>122.76701337247906</v>
      </c>
      <c r="I38" s="82"/>
    </row>
    <row r="39" spans="2:6" ht="15.75">
      <c r="B39" s="185" t="s">
        <v>18</v>
      </c>
      <c r="C39" s="186"/>
      <c r="D39" s="187"/>
      <c r="E39" s="188" t="s">
        <v>46</v>
      </c>
      <c r="F39" s="187"/>
    </row>
    <row r="40" spans="2:6" ht="17.25" customHeight="1" thickBot="1">
      <c r="B40" s="89" t="s">
        <v>45</v>
      </c>
      <c r="C40" s="90"/>
      <c r="D40" s="114">
        <f>SUM(D37:D39)</f>
        <v>2548.65</v>
      </c>
      <c r="E40" s="89" t="s">
        <v>12</v>
      </c>
      <c r="F40" s="114">
        <f>SUM(F37:F39)</f>
        <v>1022.767013372479</v>
      </c>
    </row>
    <row r="41" spans="2:6" ht="17.25" customHeight="1" thickBot="1">
      <c r="B41" s="494" t="s">
        <v>56</v>
      </c>
      <c r="C41" s="495"/>
      <c r="D41" s="495"/>
      <c r="E41" s="495"/>
      <c r="F41" s="158">
        <f>D40-F40</f>
        <v>1525.882986627521</v>
      </c>
    </row>
    <row r="42" spans="2:6" ht="3.75" customHeight="1" thickBot="1">
      <c r="B42" s="55"/>
      <c r="C42" s="6"/>
      <c r="D42" s="6"/>
      <c r="E42" s="6"/>
      <c r="F42" s="98"/>
    </row>
    <row r="43" spans="2:6" ht="17.25" customHeight="1" thickBot="1">
      <c r="B43" s="494" t="s">
        <v>70</v>
      </c>
      <c r="C43" s="495"/>
      <c r="D43" s="495"/>
      <c r="E43" s="495"/>
      <c r="F43" s="158">
        <f>_xlfn.IFERROR(F41*100/D8," ")</f>
        <v>305.1765973255042</v>
      </c>
    </row>
  </sheetData>
  <sheetProtection sheet="1"/>
  <mergeCells count="16">
    <mergeCell ref="B33:F33"/>
    <mergeCell ref="B34:C34"/>
    <mergeCell ref="B35:C35"/>
    <mergeCell ref="B37:C37"/>
    <mergeCell ref="B41:E41"/>
    <mergeCell ref="B43:E43"/>
    <mergeCell ref="B2:F2"/>
    <mergeCell ref="B4:F4"/>
    <mergeCell ref="C6:F6"/>
    <mergeCell ref="B29:E29"/>
    <mergeCell ref="B31:F31"/>
    <mergeCell ref="B32:D32"/>
    <mergeCell ref="B30:E30"/>
    <mergeCell ref="D5:F5"/>
    <mergeCell ref="B9:C9"/>
    <mergeCell ref="B28:C28"/>
  </mergeCells>
  <conditionalFormatting sqref="F51">
    <cfRule type="cellIs" priority="173" dxfId="1896" operator="lessThan" stopIfTrue="1">
      <formula>0</formula>
    </cfRule>
    <cfRule type="cellIs" priority="174" dxfId="1897" operator="greaterThan" stopIfTrue="1">
      <formula>0</formula>
    </cfRule>
  </conditionalFormatting>
  <conditionalFormatting sqref="F51">
    <cfRule type="cellIs" priority="171" dxfId="1896" operator="lessThan" stopIfTrue="1">
      <formula>0</formula>
    </cfRule>
    <cfRule type="cellIs" priority="172" dxfId="1897" operator="greaterThan" stopIfTrue="1">
      <formula>0</formula>
    </cfRule>
  </conditionalFormatting>
  <conditionalFormatting sqref="F51">
    <cfRule type="cellIs" priority="169" dxfId="1896" operator="lessThan" stopIfTrue="1">
      <formula>0</formula>
    </cfRule>
    <cfRule type="cellIs" priority="170" dxfId="1897" operator="greaterThan" stopIfTrue="1">
      <formula>0</formula>
    </cfRule>
  </conditionalFormatting>
  <conditionalFormatting sqref="F51">
    <cfRule type="cellIs" priority="167" dxfId="1896" operator="lessThan" stopIfTrue="1">
      <formula>0</formula>
    </cfRule>
    <cfRule type="cellIs" priority="168" dxfId="1897" operator="greaterThan" stopIfTrue="1">
      <formula>0</formula>
    </cfRule>
  </conditionalFormatting>
  <conditionalFormatting sqref="F51">
    <cfRule type="cellIs" priority="165" dxfId="1896" operator="lessThan" stopIfTrue="1">
      <formula>0</formula>
    </cfRule>
    <cfRule type="cellIs" priority="166" dxfId="1897" operator="greaterThan" stopIfTrue="1">
      <formula>0</formula>
    </cfRule>
  </conditionalFormatting>
  <conditionalFormatting sqref="F51">
    <cfRule type="cellIs" priority="163" dxfId="1896" operator="lessThan" stopIfTrue="1">
      <formula>0</formula>
    </cfRule>
    <cfRule type="cellIs" priority="164" dxfId="1897" operator="greaterThan" stopIfTrue="1">
      <formula>0</formula>
    </cfRule>
  </conditionalFormatting>
  <conditionalFormatting sqref="F51">
    <cfRule type="cellIs" priority="161" dxfId="1896" operator="lessThan" stopIfTrue="1">
      <formula>0</formula>
    </cfRule>
    <cfRule type="cellIs" priority="162" dxfId="1897" operator="greaterThan" stopIfTrue="1">
      <formula>0</formula>
    </cfRule>
  </conditionalFormatting>
  <conditionalFormatting sqref="F41 F43 F29:F30">
    <cfRule type="cellIs" priority="159" dxfId="1896" operator="lessThan" stopIfTrue="1">
      <formula>0</formula>
    </cfRule>
    <cfRule type="cellIs" priority="160" dxfId="1897" operator="greaterThan" stopIfTrue="1">
      <formula>0</formula>
    </cfRule>
  </conditionalFormatting>
  <conditionalFormatting sqref="F30">
    <cfRule type="cellIs" priority="157" dxfId="1896" operator="lessThan" stopIfTrue="1">
      <formula>0</formula>
    </cfRule>
    <cfRule type="cellIs" priority="158" dxfId="1897" operator="greaterThan" stopIfTrue="1">
      <formula>0</formula>
    </cfRule>
  </conditionalFormatting>
  <conditionalFormatting sqref="F30">
    <cfRule type="cellIs" priority="155" dxfId="1896" operator="lessThan" stopIfTrue="1">
      <formula>0</formula>
    </cfRule>
    <cfRule type="cellIs" priority="156" dxfId="1897" operator="greaterThan" stopIfTrue="1">
      <formula>0</formula>
    </cfRule>
  </conditionalFormatting>
  <conditionalFormatting sqref="F30">
    <cfRule type="cellIs" priority="153" dxfId="1896" operator="lessThan" stopIfTrue="1">
      <formula>0</formula>
    </cfRule>
    <cfRule type="cellIs" priority="154" dxfId="1897" operator="greaterThan" stopIfTrue="1">
      <formula>0</formula>
    </cfRule>
  </conditionalFormatting>
  <conditionalFormatting sqref="F30">
    <cfRule type="cellIs" priority="151" dxfId="1896" operator="lessThan" stopIfTrue="1">
      <formula>0</formula>
    </cfRule>
    <cfRule type="cellIs" priority="152" dxfId="1897" operator="greaterThan" stopIfTrue="1">
      <formula>0</formula>
    </cfRule>
  </conditionalFormatting>
  <conditionalFormatting sqref="F30">
    <cfRule type="cellIs" priority="149" dxfId="1896" operator="lessThan" stopIfTrue="1">
      <formula>0</formula>
    </cfRule>
    <cfRule type="cellIs" priority="150" dxfId="1897" operator="greaterThan" stopIfTrue="1">
      <formula>0</formula>
    </cfRule>
  </conditionalFormatting>
  <conditionalFormatting sqref="F30">
    <cfRule type="cellIs" priority="147" dxfId="1896" operator="lessThan" stopIfTrue="1">
      <formula>0</formula>
    </cfRule>
    <cfRule type="cellIs" priority="148" dxfId="1897" operator="greaterThan" stopIfTrue="1">
      <formula>0</formula>
    </cfRule>
  </conditionalFormatting>
  <conditionalFormatting sqref="F30">
    <cfRule type="cellIs" priority="145" dxfId="1896" operator="lessThan" stopIfTrue="1">
      <formula>0</formula>
    </cfRule>
    <cfRule type="cellIs" priority="146" dxfId="1897" operator="greaterThan" stopIfTrue="1">
      <formula>0</formula>
    </cfRule>
  </conditionalFormatting>
  <conditionalFormatting sqref="F30">
    <cfRule type="cellIs" priority="143" dxfId="1896" operator="lessThan" stopIfTrue="1">
      <formula>0</formula>
    </cfRule>
    <cfRule type="cellIs" priority="144" dxfId="1897" operator="greaterThan" stopIfTrue="1">
      <formula>0</formula>
    </cfRule>
  </conditionalFormatting>
  <conditionalFormatting sqref="F30">
    <cfRule type="cellIs" priority="141" dxfId="1896" operator="lessThan" stopIfTrue="1">
      <formula>0</formula>
    </cfRule>
    <cfRule type="cellIs" priority="142" dxfId="1897" operator="greaterThan" stopIfTrue="1">
      <formula>0</formula>
    </cfRule>
  </conditionalFormatting>
  <conditionalFormatting sqref="F51">
    <cfRule type="cellIs" priority="139" dxfId="1896" operator="lessThan" stopIfTrue="1">
      <formula>0</formula>
    </cfRule>
    <cfRule type="cellIs" priority="140" dxfId="1897" operator="greaterThan" stopIfTrue="1">
      <formula>0</formula>
    </cfRule>
  </conditionalFormatting>
  <conditionalFormatting sqref="F51">
    <cfRule type="cellIs" priority="137" dxfId="1896" operator="lessThan" stopIfTrue="1">
      <formula>0</formula>
    </cfRule>
    <cfRule type="cellIs" priority="138" dxfId="1897" operator="greaterThan" stopIfTrue="1">
      <formula>0</formula>
    </cfRule>
  </conditionalFormatting>
  <conditionalFormatting sqref="F51">
    <cfRule type="cellIs" priority="135" dxfId="1896" operator="lessThan" stopIfTrue="1">
      <formula>0</formula>
    </cfRule>
    <cfRule type="cellIs" priority="136" dxfId="1897" operator="greaterThan" stopIfTrue="1">
      <formula>0</formula>
    </cfRule>
  </conditionalFormatting>
  <conditionalFormatting sqref="F51">
    <cfRule type="cellIs" priority="133" dxfId="1896" operator="lessThan" stopIfTrue="1">
      <formula>0</formula>
    </cfRule>
    <cfRule type="cellIs" priority="134" dxfId="1897" operator="greaterThan" stopIfTrue="1">
      <formula>0</formula>
    </cfRule>
  </conditionalFormatting>
  <conditionalFormatting sqref="F51">
    <cfRule type="cellIs" priority="131" dxfId="1896" operator="lessThan" stopIfTrue="1">
      <formula>0</formula>
    </cfRule>
    <cfRule type="cellIs" priority="132" dxfId="1897" operator="greaterThan" stopIfTrue="1">
      <formula>0</formula>
    </cfRule>
  </conditionalFormatting>
  <conditionalFormatting sqref="F51">
    <cfRule type="cellIs" priority="129" dxfId="1896" operator="lessThan" stopIfTrue="1">
      <formula>0</formula>
    </cfRule>
    <cfRule type="cellIs" priority="130" dxfId="1897" operator="greaterThan" stopIfTrue="1">
      <formula>0</formula>
    </cfRule>
  </conditionalFormatting>
  <conditionalFormatting sqref="F41 F43 F29:F30">
    <cfRule type="cellIs" priority="127" dxfId="1896" operator="lessThan" stopIfTrue="1">
      <formula>0</formula>
    </cfRule>
    <cfRule type="cellIs" priority="128" dxfId="1897" operator="greaterThan" stopIfTrue="1">
      <formula>0</formula>
    </cfRule>
  </conditionalFormatting>
  <conditionalFormatting sqref="F30">
    <cfRule type="cellIs" priority="125" dxfId="1896" operator="lessThan" stopIfTrue="1">
      <formula>0</formula>
    </cfRule>
    <cfRule type="cellIs" priority="126" dxfId="1897" operator="greaterThan" stopIfTrue="1">
      <formula>0</formula>
    </cfRule>
  </conditionalFormatting>
  <conditionalFormatting sqref="F30">
    <cfRule type="cellIs" priority="123" dxfId="1896" operator="lessThan" stopIfTrue="1">
      <formula>0</formula>
    </cfRule>
    <cfRule type="cellIs" priority="124" dxfId="1897" operator="greaterThan" stopIfTrue="1">
      <formula>0</formula>
    </cfRule>
  </conditionalFormatting>
  <conditionalFormatting sqref="F30">
    <cfRule type="cellIs" priority="121" dxfId="1896" operator="lessThan" stopIfTrue="1">
      <formula>0</formula>
    </cfRule>
    <cfRule type="cellIs" priority="122" dxfId="1897" operator="greaterThan" stopIfTrue="1">
      <formula>0</formula>
    </cfRule>
  </conditionalFormatting>
  <conditionalFormatting sqref="F30">
    <cfRule type="cellIs" priority="119" dxfId="1896" operator="lessThan" stopIfTrue="1">
      <formula>0</formula>
    </cfRule>
    <cfRule type="cellIs" priority="120" dxfId="1897" operator="greaterThan" stopIfTrue="1">
      <formula>0</formula>
    </cfRule>
  </conditionalFormatting>
  <conditionalFormatting sqref="F30">
    <cfRule type="cellIs" priority="117" dxfId="1896" operator="lessThan" stopIfTrue="1">
      <formula>0</formula>
    </cfRule>
    <cfRule type="cellIs" priority="118" dxfId="1897" operator="greaterThan" stopIfTrue="1">
      <formula>0</formula>
    </cfRule>
  </conditionalFormatting>
  <conditionalFormatting sqref="F30">
    <cfRule type="cellIs" priority="115" dxfId="1896" operator="lessThan" stopIfTrue="1">
      <formula>0</formula>
    </cfRule>
    <cfRule type="cellIs" priority="116" dxfId="1897" operator="greaterThan" stopIfTrue="1">
      <formula>0</formula>
    </cfRule>
  </conditionalFormatting>
  <conditionalFormatting sqref="F30">
    <cfRule type="cellIs" priority="113" dxfId="1896" operator="lessThan" stopIfTrue="1">
      <formula>0</formula>
    </cfRule>
    <cfRule type="cellIs" priority="114" dxfId="1897" operator="greaterThan" stopIfTrue="1">
      <formula>0</formula>
    </cfRule>
  </conditionalFormatting>
  <conditionalFormatting sqref="F30">
    <cfRule type="cellIs" priority="111" dxfId="1896" operator="lessThan" stopIfTrue="1">
      <formula>0</formula>
    </cfRule>
    <cfRule type="cellIs" priority="112" dxfId="1897" operator="greaterThan" stopIfTrue="1">
      <formula>0</formula>
    </cfRule>
  </conditionalFormatting>
  <conditionalFormatting sqref="F30">
    <cfRule type="cellIs" priority="109" dxfId="1896" operator="lessThan" stopIfTrue="1">
      <formula>0</formula>
    </cfRule>
    <cfRule type="cellIs" priority="110" dxfId="1897" operator="greaterThan" stopIfTrue="1">
      <formula>0</formula>
    </cfRule>
  </conditionalFormatting>
  <conditionalFormatting sqref="F51">
    <cfRule type="cellIs" priority="107" dxfId="1896" operator="lessThan" stopIfTrue="1">
      <formula>0</formula>
    </cfRule>
    <cfRule type="cellIs" priority="108" dxfId="1897" operator="greaterThan" stopIfTrue="1">
      <formula>0</formula>
    </cfRule>
  </conditionalFormatting>
  <conditionalFormatting sqref="F51">
    <cfRule type="cellIs" priority="105" dxfId="1896" operator="lessThan" stopIfTrue="1">
      <formula>0</formula>
    </cfRule>
    <cfRule type="cellIs" priority="106" dxfId="1897" operator="greaterThan" stopIfTrue="1">
      <formula>0</formula>
    </cfRule>
  </conditionalFormatting>
  <conditionalFormatting sqref="F51">
    <cfRule type="cellIs" priority="103" dxfId="1896" operator="lessThan" stopIfTrue="1">
      <formula>0</formula>
    </cfRule>
    <cfRule type="cellIs" priority="104" dxfId="1897" operator="greaterThan" stopIfTrue="1">
      <formula>0</formula>
    </cfRule>
  </conditionalFormatting>
  <conditionalFormatting sqref="F51">
    <cfRule type="cellIs" priority="101" dxfId="1896" operator="lessThan" stopIfTrue="1">
      <formula>0</formula>
    </cfRule>
    <cfRule type="cellIs" priority="102" dxfId="1897" operator="greaterThan" stopIfTrue="1">
      <formula>0</formula>
    </cfRule>
  </conditionalFormatting>
  <conditionalFormatting sqref="F51">
    <cfRule type="cellIs" priority="99" dxfId="1896" operator="lessThan" stopIfTrue="1">
      <formula>0</formula>
    </cfRule>
    <cfRule type="cellIs" priority="100" dxfId="1897" operator="greaterThan" stopIfTrue="1">
      <formula>0</formula>
    </cfRule>
  </conditionalFormatting>
  <conditionalFormatting sqref="F41 F43 F29:F30">
    <cfRule type="cellIs" priority="97" dxfId="1896" operator="lessThan" stopIfTrue="1">
      <formula>0</formula>
    </cfRule>
    <cfRule type="cellIs" priority="98" dxfId="1897" operator="greaterThan" stopIfTrue="1">
      <formula>0</formula>
    </cfRule>
  </conditionalFormatting>
  <conditionalFormatting sqref="F30">
    <cfRule type="cellIs" priority="95" dxfId="1896" operator="lessThan" stopIfTrue="1">
      <formula>0</formula>
    </cfRule>
    <cfRule type="cellIs" priority="96" dxfId="1897" operator="greaterThan" stopIfTrue="1">
      <formula>0</formula>
    </cfRule>
  </conditionalFormatting>
  <conditionalFormatting sqref="F30">
    <cfRule type="cellIs" priority="93" dxfId="1896" operator="lessThan" stopIfTrue="1">
      <formula>0</formula>
    </cfRule>
    <cfRule type="cellIs" priority="94" dxfId="1897" operator="greaterThan" stopIfTrue="1">
      <formula>0</formula>
    </cfRule>
  </conditionalFormatting>
  <conditionalFormatting sqref="F30">
    <cfRule type="cellIs" priority="91" dxfId="1896" operator="lessThan" stopIfTrue="1">
      <formula>0</formula>
    </cfRule>
    <cfRule type="cellIs" priority="92" dxfId="1897" operator="greaterThan" stopIfTrue="1">
      <formula>0</formula>
    </cfRule>
  </conditionalFormatting>
  <conditionalFormatting sqref="F30">
    <cfRule type="cellIs" priority="89" dxfId="1896" operator="lessThan" stopIfTrue="1">
      <formula>0</formula>
    </cfRule>
    <cfRule type="cellIs" priority="90" dxfId="1897" operator="greaterThan" stopIfTrue="1">
      <formula>0</formula>
    </cfRule>
  </conditionalFormatting>
  <conditionalFormatting sqref="F30">
    <cfRule type="cellIs" priority="87" dxfId="1896" operator="lessThan" stopIfTrue="1">
      <formula>0</formula>
    </cfRule>
    <cfRule type="cellIs" priority="88" dxfId="1897" operator="greaterThan" stopIfTrue="1">
      <formula>0</formula>
    </cfRule>
  </conditionalFormatting>
  <conditionalFormatting sqref="F30">
    <cfRule type="cellIs" priority="85" dxfId="1896" operator="lessThan" stopIfTrue="1">
      <formula>0</formula>
    </cfRule>
    <cfRule type="cellIs" priority="86" dxfId="1897" operator="greaterThan" stopIfTrue="1">
      <formula>0</formula>
    </cfRule>
  </conditionalFormatting>
  <conditionalFormatting sqref="F30">
    <cfRule type="cellIs" priority="83" dxfId="1896" operator="lessThan" stopIfTrue="1">
      <formula>0</formula>
    </cfRule>
    <cfRule type="cellIs" priority="84" dxfId="1897" operator="greaterThan" stopIfTrue="1">
      <formula>0</formula>
    </cfRule>
  </conditionalFormatting>
  <conditionalFormatting sqref="F30">
    <cfRule type="cellIs" priority="81" dxfId="1896" operator="lessThan" stopIfTrue="1">
      <formula>0</formula>
    </cfRule>
    <cfRule type="cellIs" priority="82" dxfId="1897" operator="greaterThan" stopIfTrue="1">
      <formula>0</formula>
    </cfRule>
  </conditionalFormatting>
  <conditionalFormatting sqref="F30">
    <cfRule type="cellIs" priority="79" dxfId="1896" operator="lessThan" stopIfTrue="1">
      <formula>0</formula>
    </cfRule>
    <cfRule type="cellIs" priority="80" dxfId="1897" operator="greaterThan" stopIfTrue="1">
      <formula>0</formula>
    </cfRule>
  </conditionalFormatting>
  <conditionalFormatting sqref="F51">
    <cfRule type="cellIs" priority="77" dxfId="1896" operator="lessThan" stopIfTrue="1">
      <formula>0</formula>
    </cfRule>
    <cfRule type="cellIs" priority="78" dxfId="1897" operator="greaterThan" stopIfTrue="1">
      <formula>0</formula>
    </cfRule>
  </conditionalFormatting>
  <conditionalFormatting sqref="F51">
    <cfRule type="cellIs" priority="75" dxfId="1896" operator="lessThan" stopIfTrue="1">
      <formula>0</formula>
    </cfRule>
    <cfRule type="cellIs" priority="76" dxfId="1897" operator="greaterThan" stopIfTrue="1">
      <formula>0</formula>
    </cfRule>
  </conditionalFormatting>
  <conditionalFormatting sqref="F51">
    <cfRule type="cellIs" priority="73" dxfId="1896" operator="lessThan" stopIfTrue="1">
      <formula>0</formula>
    </cfRule>
    <cfRule type="cellIs" priority="74" dxfId="1897" operator="greaterThan" stopIfTrue="1">
      <formula>0</formula>
    </cfRule>
  </conditionalFormatting>
  <conditionalFormatting sqref="F51">
    <cfRule type="cellIs" priority="71" dxfId="1896" operator="lessThan" stopIfTrue="1">
      <formula>0</formula>
    </cfRule>
    <cfRule type="cellIs" priority="72" dxfId="1897" operator="greaterThan" stopIfTrue="1">
      <formula>0</formula>
    </cfRule>
  </conditionalFormatting>
  <conditionalFormatting sqref="F41 F43 F29:F30">
    <cfRule type="cellIs" priority="69" dxfId="1896" operator="lessThan" stopIfTrue="1">
      <formula>0</formula>
    </cfRule>
    <cfRule type="cellIs" priority="70" dxfId="1897" operator="greaterThan" stopIfTrue="1">
      <formula>0</formula>
    </cfRule>
  </conditionalFormatting>
  <conditionalFormatting sqref="F30">
    <cfRule type="cellIs" priority="67" dxfId="1896" operator="lessThan" stopIfTrue="1">
      <formula>0</formula>
    </cfRule>
    <cfRule type="cellIs" priority="68" dxfId="1897" operator="greaterThan" stopIfTrue="1">
      <formula>0</formula>
    </cfRule>
  </conditionalFormatting>
  <conditionalFormatting sqref="F30">
    <cfRule type="cellIs" priority="65" dxfId="1896" operator="lessThan" stopIfTrue="1">
      <formula>0</formula>
    </cfRule>
    <cfRule type="cellIs" priority="66" dxfId="1897" operator="greaterThan" stopIfTrue="1">
      <formula>0</formula>
    </cfRule>
  </conditionalFormatting>
  <conditionalFormatting sqref="F30">
    <cfRule type="cellIs" priority="63" dxfId="1896" operator="lessThan" stopIfTrue="1">
      <formula>0</formula>
    </cfRule>
    <cfRule type="cellIs" priority="64" dxfId="1897" operator="greaterThan" stopIfTrue="1">
      <formula>0</formula>
    </cfRule>
  </conditionalFormatting>
  <conditionalFormatting sqref="F30">
    <cfRule type="cellIs" priority="61" dxfId="1896" operator="lessThan" stopIfTrue="1">
      <formula>0</formula>
    </cfRule>
    <cfRule type="cellIs" priority="62" dxfId="1897" operator="greaterThan" stopIfTrue="1">
      <formula>0</formula>
    </cfRule>
  </conditionalFormatting>
  <conditionalFormatting sqref="F30">
    <cfRule type="cellIs" priority="59" dxfId="1896" operator="lessThan" stopIfTrue="1">
      <formula>0</formula>
    </cfRule>
    <cfRule type="cellIs" priority="60" dxfId="1897" operator="greaterThan" stopIfTrue="1">
      <formula>0</formula>
    </cfRule>
  </conditionalFormatting>
  <conditionalFormatting sqref="F30">
    <cfRule type="cellIs" priority="57" dxfId="1896" operator="lessThan" stopIfTrue="1">
      <formula>0</formula>
    </cfRule>
    <cfRule type="cellIs" priority="58" dxfId="1897" operator="greaterThan" stopIfTrue="1">
      <formula>0</formula>
    </cfRule>
  </conditionalFormatting>
  <conditionalFormatting sqref="F30">
    <cfRule type="cellIs" priority="55" dxfId="1896" operator="lessThan" stopIfTrue="1">
      <formula>0</formula>
    </cfRule>
    <cfRule type="cellIs" priority="56" dxfId="1897" operator="greaterThan" stopIfTrue="1">
      <formula>0</formula>
    </cfRule>
  </conditionalFormatting>
  <conditionalFormatting sqref="F30">
    <cfRule type="cellIs" priority="53" dxfId="1896" operator="lessThan" stopIfTrue="1">
      <formula>0</formula>
    </cfRule>
    <cfRule type="cellIs" priority="54" dxfId="1897" operator="greaterThan" stopIfTrue="1">
      <formula>0</formula>
    </cfRule>
  </conditionalFormatting>
  <conditionalFormatting sqref="F30">
    <cfRule type="cellIs" priority="51" dxfId="1896" operator="lessThan" stopIfTrue="1">
      <formula>0</formula>
    </cfRule>
    <cfRule type="cellIs" priority="52" dxfId="1897" operator="greaterThan" stopIfTrue="1">
      <formula>0</formula>
    </cfRule>
  </conditionalFormatting>
  <conditionalFormatting sqref="F51">
    <cfRule type="cellIs" priority="49" dxfId="1896" operator="lessThan" stopIfTrue="1">
      <formula>0</formula>
    </cfRule>
    <cfRule type="cellIs" priority="50" dxfId="1897" operator="greaterThan" stopIfTrue="1">
      <formula>0</formula>
    </cfRule>
  </conditionalFormatting>
  <conditionalFormatting sqref="F51">
    <cfRule type="cellIs" priority="47" dxfId="1896" operator="lessThan" stopIfTrue="1">
      <formula>0</formula>
    </cfRule>
    <cfRule type="cellIs" priority="48" dxfId="1897" operator="greaterThan" stopIfTrue="1">
      <formula>0</formula>
    </cfRule>
  </conditionalFormatting>
  <conditionalFormatting sqref="F51">
    <cfRule type="cellIs" priority="45" dxfId="1896" operator="lessThan" stopIfTrue="1">
      <formula>0</formula>
    </cfRule>
    <cfRule type="cellIs" priority="46" dxfId="1897" operator="greaterThan" stopIfTrue="1">
      <formula>0</formula>
    </cfRule>
  </conditionalFormatting>
  <conditionalFormatting sqref="F41 F43 F29:F30">
    <cfRule type="cellIs" priority="43" dxfId="1896" operator="lessThan" stopIfTrue="1">
      <formula>0</formula>
    </cfRule>
    <cfRule type="cellIs" priority="44" dxfId="1897" operator="greaterThan" stopIfTrue="1">
      <formula>0</formula>
    </cfRule>
  </conditionalFormatting>
  <conditionalFormatting sqref="F30">
    <cfRule type="cellIs" priority="41" dxfId="1896" operator="lessThan" stopIfTrue="1">
      <formula>0</formula>
    </cfRule>
    <cfRule type="cellIs" priority="42" dxfId="1897" operator="greaterThan" stopIfTrue="1">
      <formula>0</formula>
    </cfRule>
  </conditionalFormatting>
  <conditionalFormatting sqref="F30">
    <cfRule type="cellIs" priority="39" dxfId="1896" operator="lessThan" stopIfTrue="1">
      <formula>0</formula>
    </cfRule>
    <cfRule type="cellIs" priority="40" dxfId="1897" operator="greaterThan" stopIfTrue="1">
      <formula>0</formula>
    </cfRule>
  </conditionalFormatting>
  <conditionalFormatting sqref="F30">
    <cfRule type="cellIs" priority="37" dxfId="1896" operator="lessThan" stopIfTrue="1">
      <formula>0</formula>
    </cfRule>
    <cfRule type="cellIs" priority="38" dxfId="1897" operator="greaterThan" stopIfTrue="1">
      <formula>0</formula>
    </cfRule>
  </conditionalFormatting>
  <conditionalFormatting sqref="F30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30">
    <cfRule type="cellIs" priority="33" dxfId="1896" operator="lessThan" stopIfTrue="1">
      <formula>0</formula>
    </cfRule>
    <cfRule type="cellIs" priority="34" dxfId="1897" operator="greaterThan" stopIfTrue="1">
      <formula>0</formula>
    </cfRule>
  </conditionalFormatting>
  <conditionalFormatting sqref="F30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0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0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0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51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51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41 F43 F29:F30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0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0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0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0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3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0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0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0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0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2" r:id="rId1"/>
  <ignoredErrors>
    <ignoredError sqref="D21" formula="1"/>
    <ignoredError sqref="D22:D24" formula="1" unlockedFormula="1"/>
    <ignoredError sqref="F1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43"/>
  <sheetViews>
    <sheetView showZeros="0" zoomScale="90" zoomScaleNormal="90" zoomScalePageLayoutView="0" workbookViewId="0" topLeftCell="A2">
      <selection activeCell="B2" sqref="B2:F2"/>
    </sheetView>
  </sheetViews>
  <sheetFormatPr defaultColWidth="11.421875" defaultRowHeight="15"/>
  <cols>
    <col min="1" max="1" width="4.28125" style="0" customWidth="1"/>
    <col min="2" max="2" width="42.28125" style="0" customWidth="1"/>
    <col min="3" max="3" width="10.8515625" style="0" customWidth="1"/>
    <col min="4" max="4" width="12.7109375" style="0" customWidth="1"/>
    <col min="5" max="5" width="39.8515625" style="0" customWidth="1"/>
    <col min="6" max="6" width="14.8515625" style="0" customWidth="1"/>
    <col min="7" max="7" width="2.28125" style="0" customWidth="1"/>
  </cols>
  <sheetData>
    <row r="1" ht="15.75" hidden="1" thickBot="1"/>
    <row r="2" spans="2:6" ht="26.25">
      <c r="B2" s="467" t="s">
        <v>72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96" t="str">
        <f>1!B4:F4</f>
        <v>Tomates beefsteak (culture)</v>
      </c>
      <c r="C4" s="497"/>
      <c r="D4" s="497"/>
      <c r="E4" s="497"/>
      <c r="F4" s="498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143</v>
      </c>
      <c r="D6" s="473"/>
      <c r="E6" s="473"/>
      <c r="F6" s="474"/>
    </row>
    <row r="7" spans="2:7" ht="15">
      <c r="B7" s="86" t="s">
        <v>150</v>
      </c>
      <c r="C7" s="160"/>
      <c r="D7" s="342">
        <f>1!D7</f>
        <v>13</v>
      </c>
      <c r="E7" s="350" t="s">
        <v>53</v>
      </c>
      <c r="F7" s="344">
        <v>350</v>
      </c>
      <c r="G7" s="80"/>
    </row>
    <row r="8" spans="2:6" ht="15">
      <c r="B8" s="86" t="s">
        <v>39</v>
      </c>
      <c r="C8" s="159"/>
      <c r="D8" s="345">
        <f>1!D8</f>
        <v>500</v>
      </c>
      <c r="E8" s="351" t="s">
        <v>34</v>
      </c>
      <c r="F8" s="347">
        <v>10</v>
      </c>
    </row>
    <row r="9" spans="2:7" ht="15.75" thickBot="1">
      <c r="B9" s="485" t="s">
        <v>131</v>
      </c>
      <c r="C9" s="486"/>
      <c r="D9" s="348">
        <f>1!$D$9</f>
        <v>0.7</v>
      </c>
      <c r="E9" s="352" t="s">
        <v>42</v>
      </c>
      <c r="F9" s="348">
        <f>1!F9</f>
        <v>0.05</v>
      </c>
      <c r="G9" s="82"/>
    </row>
    <row r="10" spans="2:6" ht="16.5" customHeight="1">
      <c r="B10" s="51" t="s">
        <v>9</v>
      </c>
      <c r="C10" s="73"/>
      <c r="D10" s="17" t="s">
        <v>7</v>
      </c>
      <c r="E10" s="87" t="s">
        <v>22</v>
      </c>
      <c r="F10" s="88" t="s">
        <v>8</v>
      </c>
    </row>
    <row r="11" spans="2:6" ht="15.75">
      <c r="B11" s="176" t="s">
        <v>18</v>
      </c>
      <c r="C11" s="177"/>
      <c r="D11" s="178"/>
      <c r="E11" s="179" t="s">
        <v>18</v>
      </c>
      <c r="F11" s="178"/>
    </row>
    <row r="12" spans="2:6" ht="15.75">
      <c r="B12" s="176" t="s">
        <v>18</v>
      </c>
      <c r="C12" s="177"/>
      <c r="D12" s="180"/>
      <c r="E12" s="181"/>
      <c r="F12" s="180"/>
    </row>
    <row r="13" spans="2:6" ht="16.5" thickBot="1">
      <c r="B13" s="89" t="s">
        <v>1</v>
      </c>
      <c r="C13" s="90"/>
      <c r="D13" s="114">
        <f>SUM(D11:D12)</f>
        <v>0</v>
      </c>
      <c r="E13" s="91" t="s">
        <v>2</v>
      </c>
      <c r="F13" s="114">
        <f>SUM(F11:F12)</f>
        <v>0</v>
      </c>
    </row>
    <row r="14" spans="2:6" ht="3.75" customHeight="1" thickBot="1">
      <c r="B14" s="57"/>
      <c r="C14" s="9"/>
      <c r="D14" s="8"/>
      <c r="E14" s="9"/>
      <c r="F14" s="10"/>
    </row>
    <row r="15" spans="2:6" ht="15.75">
      <c r="B15" s="58" t="s">
        <v>3</v>
      </c>
      <c r="C15" s="76"/>
      <c r="D15" s="15"/>
      <c r="E15" s="36" t="s">
        <v>23</v>
      </c>
      <c r="F15" s="16"/>
    </row>
    <row r="16" spans="2:6" ht="15">
      <c r="B16" s="54"/>
      <c r="C16" s="327" t="s">
        <v>135</v>
      </c>
      <c r="D16" s="326" t="s">
        <v>133</v>
      </c>
      <c r="E16" s="20" t="s">
        <v>18</v>
      </c>
      <c r="F16" s="326" t="s">
        <v>38</v>
      </c>
    </row>
    <row r="17" spans="1:6" ht="15">
      <c r="A17" s="79"/>
      <c r="B17" s="84" t="s">
        <v>48</v>
      </c>
      <c r="C17" s="77"/>
      <c r="D17" s="27"/>
      <c r="E17" s="323" t="s">
        <v>144</v>
      </c>
      <c r="F17" s="309">
        <f>0.03*F7/5</f>
        <v>2.1</v>
      </c>
    </row>
    <row r="18" spans="1:6" ht="15" customHeight="1">
      <c r="A18" s="117"/>
      <c r="B18" s="311" t="s">
        <v>93</v>
      </c>
      <c r="C18" s="304">
        <v>0.19</v>
      </c>
      <c r="D18" s="307">
        <f>C18*$D$7</f>
        <v>2.47</v>
      </c>
      <c r="E18" s="323"/>
      <c r="F18" s="309"/>
    </row>
    <row r="19" spans="1:6" ht="15">
      <c r="A19" s="117"/>
      <c r="B19" s="311"/>
      <c r="C19" s="304"/>
      <c r="D19" s="307">
        <f aca="true" t="shared" si="0" ref="D19:D24">C19*$D$8</f>
        <v>0</v>
      </c>
      <c r="E19" s="323" t="s">
        <v>18</v>
      </c>
      <c r="F19" s="309"/>
    </row>
    <row r="20" spans="1:7" ht="25.5">
      <c r="A20" s="117"/>
      <c r="B20" s="312" t="s">
        <v>47</v>
      </c>
      <c r="C20" s="175"/>
      <c r="D20" s="308">
        <f>C20*$D$8</f>
        <v>0</v>
      </c>
      <c r="E20" s="323"/>
      <c r="F20" s="309"/>
      <c r="G20" s="82"/>
    </row>
    <row r="21" spans="1:7" ht="15">
      <c r="A21" s="117"/>
      <c r="B21" s="311" t="s">
        <v>93</v>
      </c>
      <c r="C21" s="304">
        <v>1.55</v>
      </c>
      <c r="D21" s="307">
        <f>C21*$D$7</f>
        <v>20.150000000000002</v>
      </c>
      <c r="E21" s="323"/>
      <c r="F21" s="309"/>
      <c r="G21" s="79"/>
    </row>
    <row r="22" spans="1:7" ht="15">
      <c r="A22" s="117"/>
      <c r="B22" s="311"/>
      <c r="C22" s="304"/>
      <c r="D22" s="307">
        <f t="shared" si="0"/>
        <v>0</v>
      </c>
      <c r="E22" s="362" t="s">
        <v>28</v>
      </c>
      <c r="F22" s="307">
        <f>_xlfn.IFERROR(F7/F8*100/D8," ")</f>
        <v>7</v>
      </c>
      <c r="G22" s="79"/>
    </row>
    <row r="23" spans="1:7" ht="15">
      <c r="A23" s="117"/>
      <c r="B23" s="311"/>
      <c r="C23" s="304"/>
      <c r="D23" s="307">
        <f t="shared" si="0"/>
        <v>0</v>
      </c>
      <c r="E23" s="362" t="s">
        <v>52</v>
      </c>
      <c r="F23" s="307">
        <f>_xlfn.IFERROR((((-(PMT($F$9/1,$F$8*1,$F$7)))*$F$8*1-$F$7))/$F$8*100/$D$8," ")</f>
        <v>2.065320247581967</v>
      </c>
      <c r="G23" s="111"/>
    </row>
    <row r="24" spans="1:7" ht="15">
      <c r="A24" s="79"/>
      <c r="B24" s="311"/>
      <c r="C24" s="305"/>
      <c r="D24" s="307">
        <f t="shared" si="0"/>
        <v>0</v>
      </c>
      <c r="E24" s="313" t="s">
        <v>18</v>
      </c>
      <c r="F24" s="310"/>
      <c r="G24" s="79"/>
    </row>
    <row r="25" spans="1:6" ht="16.5" thickBot="1">
      <c r="A25" s="79"/>
      <c r="B25" s="89" t="s">
        <v>5</v>
      </c>
      <c r="C25" s="317">
        <f>SUM(C18:C24)</f>
        <v>1.74</v>
      </c>
      <c r="D25" s="115">
        <f>SUM(D17:D24)</f>
        <v>22.62</v>
      </c>
      <c r="E25" s="91" t="s">
        <v>6</v>
      </c>
      <c r="F25" s="116">
        <f>SUM(F17:F24)</f>
        <v>11.165320247581967</v>
      </c>
    </row>
    <row r="26" spans="1:6" ht="5.25" customHeight="1">
      <c r="A26" s="79"/>
      <c r="B26" s="102"/>
      <c r="C26" s="103"/>
      <c r="D26" s="104"/>
      <c r="E26" s="105"/>
      <c r="F26" s="106"/>
    </row>
    <row r="27" spans="1:6" ht="16.5" customHeight="1" thickBot="1">
      <c r="A27" s="79"/>
      <c r="B27" s="93" t="s">
        <v>40</v>
      </c>
      <c r="C27" s="316"/>
      <c r="D27" s="95">
        <f>+D25+D13</f>
        <v>22.62</v>
      </c>
      <c r="E27" s="94" t="s">
        <v>41</v>
      </c>
      <c r="F27" s="95">
        <f>+F25+F13</f>
        <v>11.165320247581967</v>
      </c>
    </row>
    <row r="28" spans="1:6" ht="29.25" customHeight="1" thickBot="1">
      <c r="A28" s="79"/>
      <c r="B28" s="483" t="s">
        <v>158</v>
      </c>
      <c r="C28" s="484"/>
      <c r="D28" s="314">
        <f>D25-D25/(1+(1-$D$9))</f>
        <v>5.220000000000002</v>
      </c>
      <c r="E28" s="96"/>
      <c r="F28" s="97"/>
    </row>
    <row r="29" spans="1:6" ht="16.5" customHeight="1" thickBot="1">
      <c r="A29" s="79"/>
      <c r="B29" s="494" t="s">
        <v>64</v>
      </c>
      <c r="C29" s="495"/>
      <c r="D29" s="495"/>
      <c r="E29" s="495"/>
      <c r="F29" s="158">
        <f>D27-F27</f>
        <v>11.454679752418034</v>
      </c>
    </row>
    <row r="30" spans="1:6" ht="16.5" customHeight="1" thickBot="1">
      <c r="A30" s="79"/>
      <c r="B30" s="479" t="s">
        <v>115</v>
      </c>
      <c r="C30" s="480"/>
      <c r="D30" s="480"/>
      <c r="E30" s="480"/>
      <c r="F30" s="293">
        <f>_xlfn.IFERROR(IF((F29+F23+F22)&lt;0.005,"N/A",F7/D8*100/(F29+F23+F22))," ")</f>
        <v>3.41130604288499</v>
      </c>
    </row>
    <row r="31" spans="1:6" s="45" customFormat="1" ht="44.25" customHeight="1">
      <c r="A31" s="100"/>
      <c r="B31" s="477" t="s">
        <v>134</v>
      </c>
      <c r="C31" s="477"/>
      <c r="D31" s="477"/>
      <c r="E31" s="477"/>
      <c r="F31" s="477"/>
    </row>
    <row r="32" spans="1:6" s="45" customFormat="1" ht="21" customHeight="1">
      <c r="A32" s="100"/>
      <c r="B32" s="478" t="s">
        <v>73</v>
      </c>
      <c r="C32" s="478"/>
      <c r="D32" s="478"/>
      <c r="E32" s="14"/>
      <c r="F32" s="101"/>
    </row>
    <row r="33" spans="1:6" s="45" customFormat="1" ht="22.5" customHeight="1" thickBot="1">
      <c r="A33" s="100"/>
      <c r="B33" s="487" t="str">
        <f>"Flux annuel moyen de trésorerie durant la période de l'emprunt. ("&amp;D8&amp;" m²)"</f>
        <v>Flux annuel moyen de trésorerie durant la période de l'emprunt. (500 m²)</v>
      </c>
      <c r="C33" s="487"/>
      <c r="D33" s="487"/>
      <c r="E33" s="487"/>
      <c r="F33" s="487"/>
    </row>
    <row r="34" spans="1:9" s="45" customFormat="1" ht="15.75" customHeight="1">
      <c r="A34" s="100"/>
      <c r="B34" s="488" t="str">
        <f>"Montant de l'emprunt  "&amp;H34*100&amp;" % de l'investissement"</f>
        <v>Montant de l'emprunt  75 % de l'investissement</v>
      </c>
      <c r="C34" s="489"/>
      <c r="D34" s="277">
        <f>H34*F7</f>
        <v>262.5</v>
      </c>
      <c r="E34" s="264" t="s">
        <v>54</v>
      </c>
      <c r="F34" s="265">
        <v>4</v>
      </c>
      <c r="H34" s="276">
        <v>0.75</v>
      </c>
      <c r="I34" s="269" t="s">
        <v>99</v>
      </c>
    </row>
    <row r="35" spans="1:9" s="45" customFormat="1" ht="15.75" customHeight="1" thickBot="1">
      <c r="A35" s="100"/>
      <c r="B35" s="490" t="str">
        <f>"Durée de l'emprunt  "&amp;H35*100&amp;" % de l'amortissement"</f>
        <v>Durée de l'emprunt  50 % de l'amortissement</v>
      </c>
      <c r="C35" s="491"/>
      <c r="D35" s="278">
        <f>F8*H35</f>
        <v>5</v>
      </c>
      <c r="E35" s="266" t="s">
        <v>55</v>
      </c>
      <c r="F35" s="271">
        <f>1!F35</f>
        <v>0.05</v>
      </c>
      <c r="H35" s="276">
        <v>0.5</v>
      </c>
      <c r="I35" s="269" t="s">
        <v>122</v>
      </c>
    </row>
    <row r="36" spans="1:6" s="85" customFormat="1" ht="15.75">
      <c r="A36" s="79"/>
      <c r="B36" s="109" t="s">
        <v>49</v>
      </c>
      <c r="C36" s="107"/>
      <c r="D36" s="108"/>
      <c r="E36" s="110" t="s">
        <v>50</v>
      </c>
      <c r="F36" s="108"/>
    </row>
    <row r="37" spans="1:6" ht="15.75">
      <c r="A37" s="79"/>
      <c r="B37" s="492" t="str">
        <f>"Économies de main d'œuvre sur "&amp;D8&amp;" m²"</f>
        <v>Économies de main d'œuvre sur 500 m²</v>
      </c>
      <c r="C37" s="493"/>
      <c r="D37" s="165">
        <f>D27*$D$8/100</f>
        <v>113.1</v>
      </c>
      <c r="E37" s="7" t="s">
        <v>69</v>
      </c>
      <c r="F37" s="112">
        <f>_xlfn.IFERROR(D34/D35," ")</f>
        <v>52.5</v>
      </c>
    </row>
    <row r="38" spans="2:9" ht="15.75">
      <c r="B38" s="176" t="s">
        <v>51</v>
      </c>
      <c r="C38" s="177"/>
      <c r="D38" s="174"/>
      <c r="E38" s="39" t="s">
        <v>44</v>
      </c>
      <c r="F38" s="112">
        <f>_xlfn.IFERROR((PMT(F35/F34,F34*D35,-D34)*F34*D35-D34)/D35," ")</f>
        <v>7.161409113394609</v>
      </c>
      <c r="I38" s="82"/>
    </row>
    <row r="39" spans="2:6" ht="15.75">
      <c r="B39" s="185" t="s">
        <v>18</v>
      </c>
      <c r="C39" s="186"/>
      <c r="D39" s="187"/>
      <c r="E39" s="188" t="s">
        <v>46</v>
      </c>
      <c r="F39" s="187"/>
    </row>
    <row r="40" spans="2:6" ht="17.25" customHeight="1" thickBot="1">
      <c r="B40" s="89" t="s">
        <v>45</v>
      </c>
      <c r="C40" s="90"/>
      <c r="D40" s="114">
        <f>SUM(D37:D39)</f>
        <v>113.1</v>
      </c>
      <c r="E40" s="89" t="s">
        <v>12</v>
      </c>
      <c r="F40" s="114">
        <f>SUM(F37:F39)</f>
        <v>59.66140911339461</v>
      </c>
    </row>
    <row r="41" spans="2:6" ht="17.25" customHeight="1" thickBot="1">
      <c r="B41" s="494" t="s">
        <v>56</v>
      </c>
      <c r="C41" s="495"/>
      <c r="D41" s="495"/>
      <c r="E41" s="495"/>
      <c r="F41" s="158">
        <f>D40-F40</f>
        <v>53.43859088660538</v>
      </c>
    </row>
    <row r="42" spans="2:6" ht="3.75" customHeight="1" thickBot="1">
      <c r="B42" s="55"/>
      <c r="C42" s="6"/>
      <c r="D42" s="6"/>
      <c r="E42" s="6"/>
      <c r="F42" s="98"/>
    </row>
    <row r="43" spans="2:6" ht="17.25" customHeight="1" thickBot="1">
      <c r="B43" s="494" t="s">
        <v>70</v>
      </c>
      <c r="C43" s="495"/>
      <c r="D43" s="495"/>
      <c r="E43" s="495"/>
      <c r="F43" s="158">
        <f>_xlfn.IFERROR(F41*100/D8," ")</f>
        <v>10.687718177321075</v>
      </c>
    </row>
  </sheetData>
  <sheetProtection sheet="1"/>
  <mergeCells count="16">
    <mergeCell ref="B33:F33"/>
    <mergeCell ref="B34:C34"/>
    <mergeCell ref="B35:C35"/>
    <mergeCell ref="B37:C37"/>
    <mergeCell ref="B41:E41"/>
    <mergeCell ref="B43:E43"/>
    <mergeCell ref="B2:F2"/>
    <mergeCell ref="B4:F4"/>
    <mergeCell ref="C6:F6"/>
    <mergeCell ref="B29:E29"/>
    <mergeCell ref="B31:F31"/>
    <mergeCell ref="B32:D32"/>
    <mergeCell ref="B30:E30"/>
    <mergeCell ref="D5:F5"/>
    <mergeCell ref="B9:C9"/>
    <mergeCell ref="B28:C28"/>
  </mergeCells>
  <conditionalFormatting sqref="F51">
    <cfRule type="cellIs" priority="207" dxfId="1896" operator="lessThan" stopIfTrue="1">
      <formula>0</formula>
    </cfRule>
    <cfRule type="cellIs" priority="208" dxfId="1897" operator="greaterThan" stopIfTrue="1">
      <formula>0</formula>
    </cfRule>
  </conditionalFormatting>
  <conditionalFormatting sqref="F51">
    <cfRule type="cellIs" priority="205" dxfId="1896" operator="lessThan" stopIfTrue="1">
      <formula>0</formula>
    </cfRule>
    <cfRule type="cellIs" priority="206" dxfId="1897" operator="greaterThan" stopIfTrue="1">
      <formula>0</formula>
    </cfRule>
  </conditionalFormatting>
  <conditionalFormatting sqref="F51">
    <cfRule type="cellIs" priority="203" dxfId="1896" operator="lessThan" stopIfTrue="1">
      <formula>0</formula>
    </cfRule>
    <cfRule type="cellIs" priority="204" dxfId="1897" operator="greaterThan" stopIfTrue="1">
      <formula>0</formula>
    </cfRule>
  </conditionalFormatting>
  <conditionalFormatting sqref="F51">
    <cfRule type="cellIs" priority="201" dxfId="1896" operator="lessThan" stopIfTrue="1">
      <formula>0</formula>
    </cfRule>
    <cfRule type="cellIs" priority="202" dxfId="1897" operator="greaterThan" stopIfTrue="1">
      <formula>0</formula>
    </cfRule>
  </conditionalFormatting>
  <conditionalFormatting sqref="F51">
    <cfRule type="cellIs" priority="199" dxfId="1896" operator="lessThan" stopIfTrue="1">
      <formula>0</formula>
    </cfRule>
    <cfRule type="cellIs" priority="200" dxfId="1897" operator="greaterThan" stopIfTrue="1">
      <formula>0</formula>
    </cfRule>
  </conditionalFormatting>
  <conditionalFormatting sqref="F51">
    <cfRule type="cellIs" priority="197" dxfId="1896" operator="lessThan" stopIfTrue="1">
      <formula>0</formula>
    </cfRule>
    <cfRule type="cellIs" priority="198" dxfId="1897" operator="greaterThan" stopIfTrue="1">
      <formula>0</formula>
    </cfRule>
  </conditionalFormatting>
  <conditionalFormatting sqref="F51">
    <cfRule type="cellIs" priority="195" dxfId="1896" operator="lessThan" stopIfTrue="1">
      <formula>0</formula>
    </cfRule>
    <cfRule type="cellIs" priority="196" dxfId="1897" operator="greaterThan" stopIfTrue="1">
      <formula>0</formula>
    </cfRule>
  </conditionalFormatting>
  <conditionalFormatting sqref="F41 F43 F29:F30">
    <cfRule type="cellIs" priority="193" dxfId="1896" operator="lessThan" stopIfTrue="1">
      <formula>0</formula>
    </cfRule>
    <cfRule type="cellIs" priority="194" dxfId="1897" operator="greaterThan" stopIfTrue="1">
      <formula>0</formula>
    </cfRule>
  </conditionalFormatting>
  <conditionalFormatting sqref="F30">
    <cfRule type="cellIs" priority="191" dxfId="1896" operator="lessThan" stopIfTrue="1">
      <formula>0</formula>
    </cfRule>
    <cfRule type="cellIs" priority="192" dxfId="1897" operator="greaterThan" stopIfTrue="1">
      <formula>0</formula>
    </cfRule>
  </conditionalFormatting>
  <conditionalFormatting sqref="F30">
    <cfRule type="cellIs" priority="189" dxfId="1896" operator="lessThan" stopIfTrue="1">
      <formula>0</formula>
    </cfRule>
    <cfRule type="cellIs" priority="190" dxfId="1897" operator="greaterThan" stopIfTrue="1">
      <formula>0</formula>
    </cfRule>
  </conditionalFormatting>
  <conditionalFormatting sqref="F30">
    <cfRule type="cellIs" priority="187" dxfId="1896" operator="lessThan" stopIfTrue="1">
      <formula>0</formula>
    </cfRule>
    <cfRule type="cellIs" priority="188" dxfId="1897" operator="greaterThan" stopIfTrue="1">
      <formula>0</formula>
    </cfRule>
  </conditionalFormatting>
  <conditionalFormatting sqref="F30">
    <cfRule type="cellIs" priority="185" dxfId="1896" operator="lessThan" stopIfTrue="1">
      <formula>0</formula>
    </cfRule>
    <cfRule type="cellIs" priority="186" dxfId="1897" operator="greaterThan" stopIfTrue="1">
      <formula>0</formula>
    </cfRule>
  </conditionalFormatting>
  <conditionalFormatting sqref="F30">
    <cfRule type="cellIs" priority="183" dxfId="1896" operator="lessThan" stopIfTrue="1">
      <formula>0</formula>
    </cfRule>
    <cfRule type="cellIs" priority="184" dxfId="1897" operator="greaterThan" stopIfTrue="1">
      <formula>0</formula>
    </cfRule>
  </conditionalFormatting>
  <conditionalFormatting sqref="F30">
    <cfRule type="cellIs" priority="181" dxfId="1896" operator="lessThan" stopIfTrue="1">
      <formula>0</formula>
    </cfRule>
    <cfRule type="cellIs" priority="182" dxfId="1897" operator="greaterThan" stopIfTrue="1">
      <formula>0</formula>
    </cfRule>
  </conditionalFormatting>
  <conditionalFormatting sqref="F30">
    <cfRule type="cellIs" priority="179" dxfId="1896" operator="lessThan" stopIfTrue="1">
      <formula>0</formula>
    </cfRule>
    <cfRule type="cellIs" priority="180" dxfId="1897" operator="greaterThan" stopIfTrue="1">
      <formula>0</formula>
    </cfRule>
  </conditionalFormatting>
  <conditionalFormatting sqref="F30">
    <cfRule type="cellIs" priority="177" dxfId="1896" operator="lessThan" stopIfTrue="1">
      <formula>0</formula>
    </cfRule>
    <cfRule type="cellIs" priority="178" dxfId="1897" operator="greaterThan" stopIfTrue="1">
      <formula>0</formula>
    </cfRule>
  </conditionalFormatting>
  <conditionalFormatting sqref="F30">
    <cfRule type="cellIs" priority="175" dxfId="1896" operator="lessThan" stopIfTrue="1">
      <formula>0</formula>
    </cfRule>
    <cfRule type="cellIs" priority="176" dxfId="1897" operator="greaterThan" stopIfTrue="1">
      <formula>0</formula>
    </cfRule>
  </conditionalFormatting>
  <conditionalFormatting sqref="F51">
    <cfRule type="cellIs" priority="173" dxfId="1896" operator="lessThan" stopIfTrue="1">
      <formula>0</formula>
    </cfRule>
    <cfRule type="cellIs" priority="174" dxfId="1897" operator="greaterThan" stopIfTrue="1">
      <formula>0</formula>
    </cfRule>
  </conditionalFormatting>
  <conditionalFormatting sqref="F51">
    <cfRule type="cellIs" priority="171" dxfId="1896" operator="lessThan" stopIfTrue="1">
      <formula>0</formula>
    </cfRule>
    <cfRule type="cellIs" priority="172" dxfId="1897" operator="greaterThan" stopIfTrue="1">
      <formula>0</formula>
    </cfRule>
  </conditionalFormatting>
  <conditionalFormatting sqref="F51">
    <cfRule type="cellIs" priority="169" dxfId="1896" operator="lessThan" stopIfTrue="1">
      <formula>0</formula>
    </cfRule>
    <cfRule type="cellIs" priority="170" dxfId="1897" operator="greaterThan" stopIfTrue="1">
      <formula>0</formula>
    </cfRule>
  </conditionalFormatting>
  <conditionalFormatting sqref="F51">
    <cfRule type="cellIs" priority="167" dxfId="1896" operator="lessThan" stopIfTrue="1">
      <formula>0</formula>
    </cfRule>
    <cfRule type="cellIs" priority="168" dxfId="1897" operator="greaterThan" stopIfTrue="1">
      <formula>0</formula>
    </cfRule>
  </conditionalFormatting>
  <conditionalFormatting sqref="F51">
    <cfRule type="cellIs" priority="165" dxfId="1896" operator="lessThan" stopIfTrue="1">
      <formula>0</formula>
    </cfRule>
    <cfRule type="cellIs" priority="166" dxfId="1897" operator="greaterThan" stopIfTrue="1">
      <formula>0</formula>
    </cfRule>
  </conditionalFormatting>
  <conditionalFormatting sqref="F51">
    <cfRule type="cellIs" priority="163" dxfId="1896" operator="lessThan" stopIfTrue="1">
      <formula>0</formula>
    </cfRule>
    <cfRule type="cellIs" priority="164" dxfId="1897" operator="greaterThan" stopIfTrue="1">
      <formula>0</formula>
    </cfRule>
  </conditionalFormatting>
  <conditionalFormatting sqref="F51">
    <cfRule type="cellIs" priority="161" dxfId="1896" operator="lessThan" stopIfTrue="1">
      <formula>0</formula>
    </cfRule>
    <cfRule type="cellIs" priority="162" dxfId="1897" operator="greaterThan" stopIfTrue="1">
      <formula>0</formula>
    </cfRule>
  </conditionalFormatting>
  <conditionalFormatting sqref="F41 F43 F29:F30">
    <cfRule type="cellIs" priority="159" dxfId="1896" operator="lessThan" stopIfTrue="1">
      <formula>0</formula>
    </cfRule>
    <cfRule type="cellIs" priority="160" dxfId="1897" operator="greaterThan" stopIfTrue="1">
      <formula>0</formula>
    </cfRule>
  </conditionalFormatting>
  <conditionalFormatting sqref="F30">
    <cfRule type="cellIs" priority="157" dxfId="1896" operator="lessThan" stopIfTrue="1">
      <formula>0</formula>
    </cfRule>
    <cfRule type="cellIs" priority="158" dxfId="1897" operator="greaterThan" stopIfTrue="1">
      <formula>0</formula>
    </cfRule>
  </conditionalFormatting>
  <conditionalFormatting sqref="F30">
    <cfRule type="cellIs" priority="155" dxfId="1896" operator="lessThan" stopIfTrue="1">
      <formula>0</formula>
    </cfRule>
    <cfRule type="cellIs" priority="156" dxfId="1897" operator="greaterThan" stopIfTrue="1">
      <formula>0</formula>
    </cfRule>
  </conditionalFormatting>
  <conditionalFormatting sqref="F30">
    <cfRule type="cellIs" priority="153" dxfId="1896" operator="lessThan" stopIfTrue="1">
      <formula>0</formula>
    </cfRule>
    <cfRule type="cellIs" priority="154" dxfId="1897" operator="greaterThan" stopIfTrue="1">
      <formula>0</formula>
    </cfRule>
  </conditionalFormatting>
  <conditionalFormatting sqref="F30">
    <cfRule type="cellIs" priority="151" dxfId="1896" operator="lessThan" stopIfTrue="1">
      <formula>0</formula>
    </cfRule>
    <cfRule type="cellIs" priority="152" dxfId="1897" operator="greaterThan" stopIfTrue="1">
      <formula>0</formula>
    </cfRule>
  </conditionalFormatting>
  <conditionalFormatting sqref="F30">
    <cfRule type="cellIs" priority="149" dxfId="1896" operator="lessThan" stopIfTrue="1">
      <formula>0</formula>
    </cfRule>
    <cfRule type="cellIs" priority="150" dxfId="1897" operator="greaterThan" stopIfTrue="1">
      <formula>0</formula>
    </cfRule>
  </conditionalFormatting>
  <conditionalFormatting sqref="F30">
    <cfRule type="cellIs" priority="147" dxfId="1896" operator="lessThan" stopIfTrue="1">
      <formula>0</formula>
    </cfRule>
    <cfRule type="cellIs" priority="148" dxfId="1897" operator="greaterThan" stopIfTrue="1">
      <formula>0</formula>
    </cfRule>
  </conditionalFormatting>
  <conditionalFormatting sqref="F30">
    <cfRule type="cellIs" priority="145" dxfId="1896" operator="lessThan" stopIfTrue="1">
      <formula>0</formula>
    </cfRule>
    <cfRule type="cellIs" priority="146" dxfId="1897" operator="greaterThan" stopIfTrue="1">
      <formula>0</formula>
    </cfRule>
  </conditionalFormatting>
  <conditionalFormatting sqref="F30">
    <cfRule type="cellIs" priority="143" dxfId="1896" operator="lessThan" stopIfTrue="1">
      <formula>0</formula>
    </cfRule>
    <cfRule type="cellIs" priority="144" dxfId="1897" operator="greaterThan" stopIfTrue="1">
      <formula>0</formula>
    </cfRule>
  </conditionalFormatting>
  <conditionalFormatting sqref="F30">
    <cfRule type="cellIs" priority="141" dxfId="1896" operator="lessThan" stopIfTrue="1">
      <formula>0</formula>
    </cfRule>
    <cfRule type="cellIs" priority="142" dxfId="1897" operator="greaterThan" stopIfTrue="1">
      <formula>0</formula>
    </cfRule>
  </conditionalFormatting>
  <conditionalFormatting sqref="F51">
    <cfRule type="cellIs" priority="139" dxfId="1896" operator="lessThan" stopIfTrue="1">
      <formula>0</formula>
    </cfRule>
    <cfRule type="cellIs" priority="140" dxfId="1897" operator="greaterThan" stopIfTrue="1">
      <formula>0</formula>
    </cfRule>
  </conditionalFormatting>
  <conditionalFormatting sqref="F51">
    <cfRule type="cellIs" priority="137" dxfId="1896" operator="lessThan" stopIfTrue="1">
      <formula>0</formula>
    </cfRule>
    <cfRule type="cellIs" priority="138" dxfId="1897" operator="greaterThan" stopIfTrue="1">
      <formula>0</formula>
    </cfRule>
  </conditionalFormatting>
  <conditionalFormatting sqref="F51">
    <cfRule type="cellIs" priority="135" dxfId="1896" operator="lessThan" stopIfTrue="1">
      <formula>0</formula>
    </cfRule>
    <cfRule type="cellIs" priority="136" dxfId="1897" operator="greaterThan" stopIfTrue="1">
      <formula>0</formula>
    </cfRule>
  </conditionalFormatting>
  <conditionalFormatting sqref="F51">
    <cfRule type="cellIs" priority="133" dxfId="1896" operator="lessThan" stopIfTrue="1">
      <formula>0</formula>
    </cfRule>
    <cfRule type="cellIs" priority="134" dxfId="1897" operator="greaterThan" stopIfTrue="1">
      <formula>0</formula>
    </cfRule>
  </conditionalFormatting>
  <conditionalFormatting sqref="F51">
    <cfRule type="cellIs" priority="131" dxfId="1896" operator="lessThan" stopIfTrue="1">
      <formula>0</formula>
    </cfRule>
    <cfRule type="cellIs" priority="132" dxfId="1897" operator="greaterThan" stopIfTrue="1">
      <formula>0</formula>
    </cfRule>
  </conditionalFormatting>
  <conditionalFormatting sqref="F51">
    <cfRule type="cellIs" priority="129" dxfId="1896" operator="lessThan" stopIfTrue="1">
      <formula>0</formula>
    </cfRule>
    <cfRule type="cellIs" priority="130" dxfId="1897" operator="greaterThan" stopIfTrue="1">
      <formula>0</formula>
    </cfRule>
  </conditionalFormatting>
  <conditionalFormatting sqref="F41 F43 F29:F30">
    <cfRule type="cellIs" priority="127" dxfId="1896" operator="lessThan" stopIfTrue="1">
      <formula>0</formula>
    </cfRule>
    <cfRule type="cellIs" priority="128" dxfId="1897" operator="greaterThan" stopIfTrue="1">
      <formula>0</formula>
    </cfRule>
  </conditionalFormatting>
  <conditionalFormatting sqref="F30">
    <cfRule type="cellIs" priority="125" dxfId="1896" operator="lessThan" stopIfTrue="1">
      <formula>0</formula>
    </cfRule>
    <cfRule type="cellIs" priority="126" dxfId="1897" operator="greaterThan" stopIfTrue="1">
      <formula>0</formula>
    </cfRule>
  </conditionalFormatting>
  <conditionalFormatting sqref="F30">
    <cfRule type="cellIs" priority="123" dxfId="1896" operator="lessThan" stopIfTrue="1">
      <formula>0</formula>
    </cfRule>
    <cfRule type="cellIs" priority="124" dxfId="1897" operator="greaterThan" stopIfTrue="1">
      <formula>0</formula>
    </cfRule>
  </conditionalFormatting>
  <conditionalFormatting sqref="F30">
    <cfRule type="cellIs" priority="121" dxfId="1896" operator="lessThan" stopIfTrue="1">
      <formula>0</formula>
    </cfRule>
    <cfRule type="cellIs" priority="122" dxfId="1897" operator="greaterThan" stopIfTrue="1">
      <formula>0</formula>
    </cfRule>
  </conditionalFormatting>
  <conditionalFormatting sqref="F30">
    <cfRule type="cellIs" priority="119" dxfId="1896" operator="lessThan" stopIfTrue="1">
      <formula>0</formula>
    </cfRule>
    <cfRule type="cellIs" priority="120" dxfId="1897" operator="greaterThan" stopIfTrue="1">
      <formula>0</formula>
    </cfRule>
  </conditionalFormatting>
  <conditionalFormatting sqref="F30">
    <cfRule type="cellIs" priority="117" dxfId="1896" operator="lessThan" stopIfTrue="1">
      <formula>0</formula>
    </cfRule>
    <cfRule type="cellIs" priority="118" dxfId="1897" operator="greaterThan" stopIfTrue="1">
      <formula>0</formula>
    </cfRule>
  </conditionalFormatting>
  <conditionalFormatting sqref="F30">
    <cfRule type="cellIs" priority="115" dxfId="1896" operator="lessThan" stopIfTrue="1">
      <formula>0</formula>
    </cfRule>
    <cfRule type="cellIs" priority="116" dxfId="1897" operator="greaterThan" stopIfTrue="1">
      <formula>0</formula>
    </cfRule>
  </conditionalFormatting>
  <conditionalFormatting sqref="F30">
    <cfRule type="cellIs" priority="113" dxfId="1896" operator="lessThan" stopIfTrue="1">
      <formula>0</formula>
    </cfRule>
    <cfRule type="cellIs" priority="114" dxfId="1897" operator="greaterThan" stopIfTrue="1">
      <formula>0</formula>
    </cfRule>
  </conditionalFormatting>
  <conditionalFormatting sqref="F30">
    <cfRule type="cellIs" priority="111" dxfId="1896" operator="lessThan" stopIfTrue="1">
      <formula>0</formula>
    </cfRule>
    <cfRule type="cellIs" priority="112" dxfId="1897" operator="greaterThan" stopIfTrue="1">
      <formula>0</formula>
    </cfRule>
  </conditionalFormatting>
  <conditionalFormatting sqref="F30">
    <cfRule type="cellIs" priority="109" dxfId="1896" operator="lessThan" stopIfTrue="1">
      <formula>0</formula>
    </cfRule>
    <cfRule type="cellIs" priority="110" dxfId="1897" operator="greaterThan" stopIfTrue="1">
      <formula>0</formula>
    </cfRule>
  </conditionalFormatting>
  <conditionalFormatting sqref="F51">
    <cfRule type="cellIs" priority="107" dxfId="1896" operator="lessThan" stopIfTrue="1">
      <formula>0</formula>
    </cfRule>
    <cfRule type="cellIs" priority="108" dxfId="1897" operator="greaterThan" stopIfTrue="1">
      <formula>0</formula>
    </cfRule>
  </conditionalFormatting>
  <conditionalFormatting sqref="F51">
    <cfRule type="cellIs" priority="105" dxfId="1896" operator="lessThan" stopIfTrue="1">
      <formula>0</formula>
    </cfRule>
    <cfRule type="cellIs" priority="106" dxfId="1897" operator="greaterThan" stopIfTrue="1">
      <formula>0</formula>
    </cfRule>
  </conditionalFormatting>
  <conditionalFormatting sqref="F51">
    <cfRule type="cellIs" priority="103" dxfId="1896" operator="lessThan" stopIfTrue="1">
      <formula>0</formula>
    </cfRule>
    <cfRule type="cellIs" priority="104" dxfId="1897" operator="greaterThan" stopIfTrue="1">
      <formula>0</formula>
    </cfRule>
  </conditionalFormatting>
  <conditionalFormatting sqref="F51">
    <cfRule type="cellIs" priority="101" dxfId="1896" operator="lessThan" stopIfTrue="1">
      <formula>0</formula>
    </cfRule>
    <cfRule type="cellIs" priority="102" dxfId="1897" operator="greaterThan" stopIfTrue="1">
      <formula>0</formula>
    </cfRule>
  </conditionalFormatting>
  <conditionalFormatting sqref="F51">
    <cfRule type="cellIs" priority="99" dxfId="1896" operator="lessThan" stopIfTrue="1">
      <formula>0</formula>
    </cfRule>
    <cfRule type="cellIs" priority="100" dxfId="1897" operator="greaterThan" stopIfTrue="1">
      <formula>0</formula>
    </cfRule>
  </conditionalFormatting>
  <conditionalFormatting sqref="F41 F43 F29:F30">
    <cfRule type="cellIs" priority="97" dxfId="1896" operator="lessThan" stopIfTrue="1">
      <formula>0</formula>
    </cfRule>
    <cfRule type="cellIs" priority="98" dxfId="1897" operator="greaterThan" stopIfTrue="1">
      <formula>0</formula>
    </cfRule>
  </conditionalFormatting>
  <conditionalFormatting sqref="F30">
    <cfRule type="cellIs" priority="95" dxfId="1896" operator="lessThan" stopIfTrue="1">
      <formula>0</formula>
    </cfRule>
    <cfRule type="cellIs" priority="96" dxfId="1897" operator="greaterThan" stopIfTrue="1">
      <formula>0</formula>
    </cfRule>
  </conditionalFormatting>
  <conditionalFormatting sqref="F30">
    <cfRule type="cellIs" priority="93" dxfId="1896" operator="lessThan" stopIfTrue="1">
      <formula>0</formula>
    </cfRule>
    <cfRule type="cellIs" priority="94" dxfId="1897" operator="greaterThan" stopIfTrue="1">
      <formula>0</formula>
    </cfRule>
  </conditionalFormatting>
  <conditionalFormatting sqref="F30">
    <cfRule type="cellIs" priority="91" dxfId="1896" operator="lessThan" stopIfTrue="1">
      <formula>0</formula>
    </cfRule>
    <cfRule type="cellIs" priority="92" dxfId="1897" operator="greaterThan" stopIfTrue="1">
      <formula>0</formula>
    </cfRule>
  </conditionalFormatting>
  <conditionalFormatting sqref="F30">
    <cfRule type="cellIs" priority="89" dxfId="1896" operator="lessThan" stopIfTrue="1">
      <formula>0</formula>
    </cfRule>
    <cfRule type="cellIs" priority="90" dxfId="1897" operator="greaterThan" stopIfTrue="1">
      <formula>0</formula>
    </cfRule>
  </conditionalFormatting>
  <conditionalFormatting sqref="F30">
    <cfRule type="cellIs" priority="87" dxfId="1896" operator="lessThan" stopIfTrue="1">
      <formula>0</formula>
    </cfRule>
    <cfRule type="cellIs" priority="88" dxfId="1897" operator="greaterThan" stopIfTrue="1">
      <formula>0</formula>
    </cfRule>
  </conditionalFormatting>
  <conditionalFormatting sqref="F30">
    <cfRule type="cellIs" priority="85" dxfId="1896" operator="lessThan" stopIfTrue="1">
      <formula>0</formula>
    </cfRule>
    <cfRule type="cellIs" priority="86" dxfId="1897" operator="greaterThan" stopIfTrue="1">
      <formula>0</formula>
    </cfRule>
  </conditionalFormatting>
  <conditionalFormatting sqref="F30">
    <cfRule type="cellIs" priority="83" dxfId="1896" operator="lessThan" stopIfTrue="1">
      <formula>0</formula>
    </cfRule>
    <cfRule type="cellIs" priority="84" dxfId="1897" operator="greaterThan" stopIfTrue="1">
      <formula>0</formula>
    </cfRule>
  </conditionalFormatting>
  <conditionalFormatting sqref="F30">
    <cfRule type="cellIs" priority="81" dxfId="1896" operator="lessThan" stopIfTrue="1">
      <formula>0</formula>
    </cfRule>
    <cfRule type="cellIs" priority="82" dxfId="1897" operator="greaterThan" stopIfTrue="1">
      <formula>0</formula>
    </cfRule>
  </conditionalFormatting>
  <conditionalFormatting sqref="F30">
    <cfRule type="cellIs" priority="79" dxfId="1896" operator="lessThan" stopIfTrue="1">
      <formula>0</formula>
    </cfRule>
    <cfRule type="cellIs" priority="80" dxfId="1897" operator="greaterThan" stopIfTrue="1">
      <formula>0</formula>
    </cfRule>
  </conditionalFormatting>
  <conditionalFormatting sqref="F51">
    <cfRule type="cellIs" priority="77" dxfId="1896" operator="lessThan" stopIfTrue="1">
      <formula>0</formula>
    </cfRule>
    <cfRule type="cellIs" priority="78" dxfId="1897" operator="greaterThan" stopIfTrue="1">
      <formula>0</formula>
    </cfRule>
  </conditionalFormatting>
  <conditionalFormatting sqref="F51">
    <cfRule type="cellIs" priority="75" dxfId="1896" operator="lessThan" stopIfTrue="1">
      <formula>0</formula>
    </cfRule>
    <cfRule type="cellIs" priority="76" dxfId="1897" operator="greaterThan" stopIfTrue="1">
      <formula>0</formula>
    </cfRule>
  </conditionalFormatting>
  <conditionalFormatting sqref="F51">
    <cfRule type="cellIs" priority="73" dxfId="1896" operator="lessThan" stopIfTrue="1">
      <formula>0</formula>
    </cfRule>
    <cfRule type="cellIs" priority="74" dxfId="1897" operator="greaterThan" stopIfTrue="1">
      <formula>0</formula>
    </cfRule>
  </conditionalFormatting>
  <conditionalFormatting sqref="F51">
    <cfRule type="cellIs" priority="71" dxfId="1896" operator="lessThan" stopIfTrue="1">
      <formula>0</formula>
    </cfRule>
    <cfRule type="cellIs" priority="72" dxfId="1897" operator="greaterThan" stopIfTrue="1">
      <formula>0</formula>
    </cfRule>
  </conditionalFormatting>
  <conditionalFormatting sqref="F41 F43 F29:F30">
    <cfRule type="cellIs" priority="69" dxfId="1896" operator="lessThan" stopIfTrue="1">
      <formula>0</formula>
    </cfRule>
    <cfRule type="cellIs" priority="70" dxfId="1897" operator="greaterThan" stopIfTrue="1">
      <formula>0</formula>
    </cfRule>
  </conditionalFormatting>
  <conditionalFormatting sqref="F30">
    <cfRule type="cellIs" priority="67" dxfId="1896" operator="lessThan" stopIfTrue="1">
      <formula>0</formula>
    </cfRule>
    <cfRule type="cellIs" priority="68" dxfId="1897" operator="greaterThan" stopIfTrue="1">
      <formula>0</formula>
    </cfRule>
  </conditionalFormatting>
  <conditionalFormatting sqref="F30">
    <cfRule type="cellIs" priority="65" dxfId="1896" operator="lessThan" stopIfTrue="1">
      <formula>0</formula>
    </cfRule>
    <cfRule type="cellIs" priority="66" dxfId="1897" operator="greaterThan" stopIfTrue="1">
      <formula>0</formula>
    </cfRule>
  </conditionalFormatting>
  <conditionalFormatting sqref="F30">
    <cfRule type="cellIs" priority="63" dxfId="1896" operator="lessThan" stopIfTrue="1">
      <formula>0</formula>
    </cfRule>
    <cfRule type="cellIs" priority="64" dxfId="1897" operator="greaterThan" stopIfTrue="1">
      <formula>0</formula>
    </cfRule>
  </conditionalFormatting>
  <conditionalFormatting sqref="F30">
    <cfRule type="cellIs" priority="61" dxfId="1896" operator="lessThan" stopIfTrue="1">
      <formula>0</formula>
    </cfRule>
    <cfRule type="cellIs" priority="62" dxfId="1897" operator="greaterThan" stopIfTrue="1">
      <formula>0</formula>
    </cfRule>
  </conditionalFormatting>
  <conditionalFormatting sqref="F30">
    <cfRule type="cellIs" priority="59" dxfId="1896" operator="lessThan" stopIfTrue="1">
      <formula>0</formula>
    </cfRule>
    <cfRule type="cellIs" priority="60" dxfId="1897" operator="greaterThan" stopIfTrue="1">
      <formula>0</formula>
    </cfRule>
  </conditionalFormatting>
  <conditionalFormatting sqref="F30">
    <cfRule type="cellIs" priority="57" dxfId="1896" operator="lessThan" stopIfTrue="1">
      <formula>0</formula>
    </cfRule>
    <cfRule type="cellIs" priority="58" dxfId="1897" operator="greaterThan" stopIfTrue="1">
      <formula>0</formula>
    </cfRule>
  </conditionalFormatting>
  <conditionalFormatting sqref="F30">
    <cfRule type="cellIs" priority="55" dxfId="1896" operator="lessThan" stopIfTrue="1">
      <formula>0</formula>
    </cfRule>
    <cfRule type="cellIs" priority="56" dxfId="1897" operator="greaterThan" stopIfTrue="1">
      <formula>0</formula>
    </cfRule>
  </conditionalFormatting>
  <conditionalFormatting sqref="F30">
    <cfRule type="cellIs" priority="53" dxfId="1896" operator="lessThan" stopIfTrue="1">
      <formula>0</formula>
    </cfRule>
    <cfRule type="cellIs" priority="54" dxfId="1897" operator="greaterThan" stopIfTrue="1">
      <formula>0</formula>
    </cfRule>
  </conditionalFormatting>
  <conditionalFormatting sqref="F30">
    <cfRule type="cellIs" priority="51" dxfId="1896" operator="lessThan" stopIfTrue="1">
      <formula>0</formula>
    </cfRule>
    <cfRule type="cellIs" priority="52" dxfId="1897" operator="greaterThan" stopIfTrue="1">
      <formula>0</formula>
    </cfRule>
  </conditionalFormatting>
  <conditionalFormatting sqref="F51">
    <cfRule type="cellIs" priority="49" dxfId="1896" operator="lessThan" stopIfTrue="1">
      <formula>0</formula>
    </cfRule>
    <cfRule type="cellIs" priority="50" dxfId="1897" operator="greaterThan" stopIfTrue="1">
      <formula>0</formula>
    </cfRule>
  </conditionalFormatting>
  <conditionalFormatting sqref="F51">
    <cfRule type="cellIs" priority="47" dxfId="1896" operator="lessThan" stopIfTrue="1">
      <formula>0</formula>
    </cfRule>
    <cfRule type="cellIs" priority="48" dxfId="1897" operator="greaterThan" stopIfTrue="1">
      <formula>0</formula>
    </cfRule>
  </conditionalFormatting>
  <conditionalFormatting sqref="F51">
    <cfRule type="cellIs" priority="45" dxfId="1896" operator="lessThan" stopIfTrue="1">
      <formula>0</formula>
    </cfRule>
    <cfRule type="cellIs" priority="46" dxfId="1897" operator="greaterThan" stopIfTrue="1">
      <formula>0</formula>
    </cfRule>
  </conditionalFormatting>
  <conditionalFormatting sqref="F41 F43 F29:F30">
    <cfRule type="cellIs" priority="43" dxfId="1896" operator="lessThan" stopIfTrue="1">
      <formula>0</formula>
    </cfRule>
    <cfRule type="cellIs" priority="44" dxfId="1897" operator="greaterThan" stopIfTrue="1">
      <formula>0</formula>
    </cfRule>
  </conditionalFormatting>
  <conditionalFormatting sqref="F30">
    <cfRule type="cellIs" priority="41" dxfId="1896" operator="lessThan" stopIfTrue="1">
      <formula>0</formula>
    </cfRule>
    <cfRule type="cellIs" priority="42" dxfId="1897" operator="greaterThan" stopIfTrue="1">
      <formula>0</formula>
    </cfRule>
  </conditionalFormatting>
  <conditionalFormatting sqref="F30">
    <cfRule type="cellIs" priority="39" dxfId="1896" operator="lessThan" stopIfTrue="1">
      <formula>0</formula>
    </cfRule>
    <cfRule type="cellIs" priority="40" dxfId="1897" operator="greaterThan" stopIfTrue="1">
      <formula>0</formula>
    </cfRule>
  </conditionalFormatting>
  <conditionalFormatting sqref="F30">
    <cfRule type="cellIs" priority="37" dxfId="1896" operator="lessThan" stopIfTrue="1">
      <formula>0</formula>
    </cfRule>
    <cfRule type="cellIs" priority="38" dxfId="1897" operator="greaterThan" stopIfTrue="1">
      <formula>0</formula>
    </cfRule>
  </conditionalFormatting>
  <conditionalFormatting sqref="F30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30">
    <cfRule type="cellIs" priority="33" dxfId="1896" operator="lessThan" stopIfTrue="1">
      <formula>0</formula>
    </cfRule>
    <cfRule type="cellIs" priority="34" dxfId="1897" operator="greaterThan" stopIfTrue="1">
      <formula>0</formula>
    </cfRule>
  </conditionalFormatting>
  <conditionalFormatting sqref="F30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0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0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0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51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51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41 F43 F29:F30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0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0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0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0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3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0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0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0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0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2" r:id="rId1"/>
  <ignoredErrors>
    <ignoredError sqref="D21" formula="1"/>
    <ignoredError sqref="D22:D24" formula="1" unlockedFormula="1"/>
    <ignoredError sqref="F17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43"/>
  <sheetViews>
    <sheetView zoomScale="90" zoomScaleNormal="90" zoomScalePageLayoutView="0" workbookViewId="0" topLeftCell="A2">
      <selection activeCell="B2" sqref="B2:F2"/>
    </sheetView>
  </sheetViews>
  <sheetFormatPr defaultColWidth="11.421875" defaultRowHeight="15"/>
  <cols>
    <col min="1" max="1" width="4.28125" style="0" customWidth="1"/>
    <col min="2" max="2" width="42.28125" style="0" customWidth="1"/>
    <col min="3" max="3" width="10.8515625" style="0" customWidth="1"/>
    <col min="4" max="4" width="12.7109375" style="0" customWidth="1"/>
    <col min="5" max="5" width="39.8515625" style="0" customWidth="1"/>
    <col min="6" max="6" width="14.8515625" style="0" customWidth="1"/>
    <col min="7" max="7" width="2.28125" style="0" customWidth="1"/>
  </cols>
  <sheetData>
    <row r="1" ht="15.75" hidden="1" thickBot="1"/>
    <row r="2" spans="2:6" ht="26.25">
      <c r="B2" s="467" t="s">
        <v>72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96" t="str">
        <f>1!B4:F4</f>
        <v>Tomates beefsteak (culture)</v>
      </c>
      <c r="C4" s="497"/>
      <c r="D4" s="497"/>
      <c r="E4" s="497"/>
      <c r="F4" s="498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118</v>
      </c>
      <c r="D6" s="473"/>
      <c r="E6" s="473"/>
      <c r="F6" s="474"/>
    </row>
    <row r="7" spans="2:7" ht="15">
      <c r="B7" s="86" t="s">
        <v>150</v>
      </c>
      <c r="C7" s="160"/>
      <c r="D7" s="342">
        <f>1!D7</f>
        <v>13</v>
      </c>
      <c r="E7" s="350" t="s">
        <v>53</v>
      </c>
      <c r="F7" s="344">
        <v>3000</v>
      </c>
      <c r="G7" s="80"/>
    </row>
    <row r="8" spans="2:6" ht="15">
      <c r="B8" s="86" t="s">
        <v>39</v>
      </c>
      <c r="C8" s="159"/>
      <c r="D8" s="345">
        <f>1!D8</f>
        <v>500</v>
      </c>
      <c r="E8" s="351" t="s">
        <v>34</v>
      </c>
      <c r="F8" s="347">
        <v>10</v>
      </c>
    </row>
    <row r="9" spans="2:7" ht="15.75" thickBot="1">
      <c r="B9" s="485" t="s">
        <v>131</v>
      </c>
      <c r="C9" s="486"/>
      <c r="D9" s="348">
        <f>1!$D$9</f>
        <v>0.7</v>
      </c>
      <c r="E9" s="352" t="s">
        <v>42</v>
      </c>
      <c r="F9" s="348">
        <f>1!F9</f>
        <v>0.05</v>
      </c>
      <c r="G9" s="82"/>
    </row>
    <row r="10" spans="2:6" ht="16.5" customHeight="1">
      <c r="B10" s="51" t="s">
        <v>9</v>
      </c>
      <c r="C10" s="73"/>
      <c r="D10" s="17" t="s">
        <v>7</v>
      </c>
      <c r="E10" s="87" t="s">
        <v>22</v>
      </c>
      <c r="F10" s="88" t="s">
        <v>8</v>
      </c>
    </row>
    <row r="11" spans="2:6" ht="15.75">
      <c r="B11" s="176" t="s">
        <v>112</v>
      </c>
      <c r="C11" s="177"/>
      <c r="D11" s="178">
        <f>0.01*45*2.2*100</f>
        <v>99.00000000000001</v>
      </c>
      <c r="E11" s="179" t="s">
        <v>18</v>
      </c>
      <c r="F11" s="178"/>
    </row>
    <row r="12" spans="2:6" ht="15.75">
      <c r="B12" s="176" t="s">
        <v>18</v>
      </c>
      <c r="C12" s="177"/>
      <c r="D12" s="180"/>
      <c r="E12" s="181"/>
      <c r="F12" s="180"/>
    </row>
    <row r="13" spans="2:6" ht="16.5" thickBot="1">
      <c r="B13" s="89" t="s">
        <v>1</v>
      </c>
      <c r="C13" s="90"/>
      <c r="D13" s="114">
        <f>SUM(D11:D12)</f>
        <v>99.00000000000001</v>
      </c>
      <c r="E13" s="91" t="s">
        <v>2</v>
      </c>
      <c r="F13" s="114">
        <f>SUM(F11:F12)</f>
        <v>0</v>
      </c>
    </row>
    <row r="14" spans="2:6" ht="3.75" customHeight="1" thickBot="1">
      <c r="B14" s="57"/>
      <c r="C14" s="9"/>
      <c r="D14" s="8"/>
      <c r="E14" s="9"/>
      <c r="F14" s="10"/>
    </row>
    <row r="15" spans="2:6" ht="15.75">
      <c r="B15" s="58" t="s">
        <v>3</v>
      </c>
      <c r="C15" s="76"/>
      <c r="D15" s="15"/>
      <c r="E15" s="36" t="s">
        <v>23</v>
      </c>
      <c r="F15" s="16"/>
    </row>
    <row r="16" spans="2:6" ht="15">
      <c r="B16" s="54"/>
      <c r="C16" s="327" t="s">
        <v>135</v>
      </c>
      <c r="D16" s="326" t="s">
        <v>133</v>
      </c>
      <c r="E16" s="20" t="s">
        <v>18</v>
      </c>
      <c r="F16" s="326" t="s">
        <v>38</v>
      </c>
    </row>
    <row r="17" spans="1:6" ht="15">
      <c r="A17" s="79"/>
      <c r="B17" s="84" t="s">
        <v>48</v>
      </c>
      <c r="C17" s="77"/>
      <c r="D17" s="27"/>
      <c r="E17" s="323" t="s">
        <v>94</v>
      </c>
      <c r="F17" s="309"/>
    </row>
    <row r="18" spans="1:6" ht="15" customHeight="1">
      <c r="A18" s="117"/>
      <c r="B18" s="311" t="s">
        <v>93</v>
      </c>
      <c r="C18" s="304">
        <v>2</v>
      </c>
      <c r="D18" s="307">
        <f>C18*$D$7</f>
        <v>26</v>
      </c>
      <c r="E18" s="452">
        <v>0.05</v>
      </c>
      <c r="F18" s="184">
        <f>0.05*F7/5</f>
        <v>30</v>
      </c>
    </row>
    <row r="19" spans="1:6" ht="15">
      <c r="A19" s="117"/>
      <c r="B19" s="311"/>
      <c r="C19" s="304"/>
      <c r="D19" s="307">
        <f aca="true" t="shared" si="0" ref="D19:D24">C19*$D$8</f>
        <v>0</v>
      </c>
      <c r="E19" s="363" t="s">
        <v>18</v>
      </c>
      <c r="F19" s="309"/>
    </row>
    <row r="20" spans="1:7" ht="25.5">
      <c r="A20" s="117"/>
      <c r="B20" s="312" t="s">
        <v>47</v>
      </c>
      <c r="C20" s="175"/>
      <c r="D20" s="308">
        <f t="shared" si="0"/>
        <v>0</v>
      </c>
      <c r="E20" s="363"/>
      <c r="F20" s="309"/>
      <c r="G20" s="82"/>
    </row>
    <row r="21" spans="1:7" ht="15">
      <c r="A21" s="117"/>
      <c r="B21" s="311" t="s">
        <v>93</v>
      </c>
      <c r="C21" s="304">
        <v>10.1</v>
      </c>
      <c r="D21" s="307">
        <f>C21*$D$7</f>
        <v>131.29999999999998</v>
      </c>
      <c r="E21" s="363"/>
      <c r="F21" s="309"/>
      <c r="G21" s="79"/>
    </row>
    <row r="22" spans="1:7" ht="15">
      <c r="A22" s="117"/>
      <c r="B22" s="311"/>
      <c r="C22" s="304"/>
      <c r="D22" s="307">
        <f t="shared" si="0"/>
        <v>0</v>
      </c>
      <c r="E22" s="362" t="s">
        <v>28</v>
      </c>
      <c r="F22" s="307">
        <f>_xlfn.IFERROR(F7/F8*100/D8," ")</f>
        <v>60</v>
      </c>
      <c r="G22" s="79"/>
    </row>
    <row r="23" spans="1:7" ht="15">
      <c r="A23" s="117"/>
      <c r="B23" s="311"/>
      <c r="C23" s="304"/>
      <c r="D23" s="307">
        <f t="shared" si="0"/>
        <v>0</v>
      </c>
      <c r="E23" s="362" t="s">
        <v>52</v>
      </c>
      <c r="F23" s="307">
        <f>_xlfn.IFERROR((((-(PMT($F$9/1,$F$8*1,$F$7)))*$F$8*1-$F$7))/$F$8*100/$D$8," ")</f>
        <v>17.702744979273994</v>
      </c>
      <c r="G23" s="111"/>
    </row>
    <row r="24" spans="1:7" ht="15">
      <c r="A24" s="79"/>
      <c r="B24" s="311"/>
      <c r="C24" s="305"/>
      <c r="D24" s="307">
        <f t="shared" si="0"/>
        <v>0</v>
      </c>
      <c r="E24" s="313" t="s">
        <v>18</v>
      </c>
      <c r="F24" s="310"/>
      <c r="G24" s="79"/>
    </row>
    <row r="25" spans="1:6" ht="16.5" thickBot="1">
      <c r="A25" s="79"/>
      <c r="B25" s="89" t="s">
        <v>5</v>
      </c>
      <c r="C25" s="317">
        <f>SUM(C18:C24)</f>
        <v>12.1</v>
      </c>
      <c r="D25" s="115">
        <f>SUM(D17:D24)</f>
        <v>157.29999999999998</v>
      </c>
      <c r="E25" s="91" t="s">
        <v>6</v>
      </c>
      <c r="F25" s="116">
        <f>SUM(F17:F24)</f>
        <v>107.702744979274</v>
      </c>
    </row>
    <row r="26" spans="1:6" ht="5.25" customHeight="1">
      <c r="A26" s="79"/>
      <c r="B26" s="102"/>
      <c r="C26" s="103"/>
      <c r="D26" s="104"/>
      <c r="E26" s="105"/>
      <c r="F26" s="106"/>
    </row>
    <row r="27" spans="1:6" ht="16.5" customHeight="1" thickBot="1">
      <c r="A27" s="79"/>
      <c r="B27" s="93" t="s">
        <v>40</v>
      </c>
      <c r="C27" s="316"/>
      <c r="D27" s="95">
        <f>+D25+D13</f>
        <v>256.3</v>
      </c>
      <c r="E27" s="94" t="s">
        <v>41</v>
      </c>
      <c r="F27" s="95">
        <f>+F25+F13</f>
        <v>107.702744979274</v>
      </c>
    </row>
    <row r="28" spans="1:6" ht="29.25" customHeight="1" thickBot="1">
      <c r="A28" s="79"/>
      <c r="B28" s="483" t="s">
        <v>158</v>
      </c>
      <c r="C28" s="484"/>
      <c r="D28" s="314">
        <f>D25-D25/(1+(1-$D$9))</f>
        <v>36.3</v>
      </c>
      <c r="E28" s="96"/>
      <c r="F28" s="97"/>
    </row>
    <row r="29" spans="1:6" ht="16.5" customHeight="1" thickBot="1">
      <c r="A29" s="79"/>
      <c r="B29" s="494" t="s">
        <v>64</v>
      </c>
      <c r="C29" s="495"/>
      <c r="D29" s="495"/>
      <c r="E29" s="495"/>
      <c r="F29" s="158">
        <f>D27-F27</f>
        <v>148.597255020726</v>
      </c>
    </row>
    <row r="30" spans="1:6" ht="16.5" customHeight="1" thickBot="1">
      <c r="A30" s="79"/>
      <c r="B30" s="479" t="s">
        <v>115</v>
      </c>
      <c r="C30" s="480"/>
      <c r="D30" s="480"/>
      <c r="E30" s="480"/>
      <c r="F30" s="293">
        <f>_xlfn.IFERROR(IF((F29+F23+F22)&lt;0.005,"N/A",F7/D8*100/(F29+F23+F22))," ")</f>
        <v>2.6513477684489613</v>
      </c>
    </row>
    <row r="31" spans="1:6" s="45" customFormat="1" ht="44.25" customHeight="1">
      <c r="A31" s="100"/>
      <c r="B31" s="477" t="s">
        <v>134</v>
      </c>
      <c r="C31" s="477"/>
      <c r="D31" s="477"/>
      <c r="E31" s="477"/>
      <c r="F31" s="477"/>
    </row>
    <row r="32" spans="1:6" s="45" customFormat="1" ht="21" customHeight="1">
      <c r="A32" s="100"/>
      <c r="B32" s="478" t="s">
        <v>73</v>
      </c>
      <c r="C32" s="478"/>
      <c r="D32" s="478"/>
      <c r="E32" s="14"/>
      <c r="F32" s="101"/>
    </row>
    <row r="33" spans="1:6" s="45" customFormat="1" ht="22.5" customHeight="1" thickBot="1">
      <c r="A33" s="100"/>
      <c r="B33" s="487" t="str">
        <f>"Flux annuel moyen de trésorerie durant la période de l'emprunt. ("&amp;D8&amp;" m²)"</f>
        <v>Flux annuel moyen de trésorerie durant la période de l'emprunt. (500 m²)</v>
      </c>
      <c r="C33" s="487"/>
      <c r="D33" s="487"/>
      <c r="E33" s="487"/>
      <c r="F33" s="487"/>
    </row>
    <row r="34" spans="1:9" s="45" customFormat="1" ht="15.75" customHeight="1">
      <c r="A34" s="100"/>
      <c r="B34" s="488" t="str">
        <f>"Montant de l'emprunt  "&amp;H34*100&amp;" % de l'investissement"</f>
        <v>Montant de l'emprunt  75 % de l'investissement</v>
      </c>
      <c r="C34" s="489"/>
      <c r="D34" s="277">
        <f>H34*F7</f>
        <v>2250</v>
      </c>
      <c r="E34" s="264" t="s">
        <v>54</v>
      </c>
      <c r="F34" s="265">
        <v>4</v>
      </c>
      <c r="H34" s="276">
        <v>0.75</v>
      </c>
      <c r="I34" s="269" t="s">
        <v>99</v>
      </c>
    </row>
    <row r="35" spans="1:9" s="45" customFormat="1" ht="15.75" customHeight="1" thickBot="1">
      <c r="A35" s="100"/>
      <c r="B35" s="490" t="str">
        <f>"Durée de l'emprunt  "&amp;H35*100&amp;" % de l'amortissement"</f>
        <v>Durée de l'emprunt  50 % de l'amortissement</v>
      </c>
      <c r="C35" s="491"/>
      <c r="D35" s="278">
        <f>F8*H35</f>
        <v>5</v>
      </c>
      <c r="E35" s="266" t="s">
        <v>55</v>
      </c>
      <c r="F35" s="271">
        <f>1!F35</f>
        <v>0.05</v>
      </c>
      <c r="H35" s="276">
        <v>0.5</v>
      </c>
      <c r="I35" s="269" t="s">
        <v>117</v>
      </c>
    </row>
    <row r="36" spans="1:6" s="85" customFormat="1" ht="15.75">
      <c r="A36" s="79"/>
      <c r="B36" s="109" t="s">
        <v>49</v>
      </c>
      <c r="C36" s="107"/>
      <c r="D36" s="108"/>
      <c r="E36" s="110" t="s">
        <v>50</v>
      </c>
      <c r="F36" s="108"/>
    </row>
    <row r="37" spans="1:6" ht="15.75">
      <c r="A37" s="79"/>
      <c r="B37" s="492" t="str">
        <f>"Économies de main d'œuvre sur "&amp;D8&amp;" m²"</f>
        <v>Économies de main d'œuvre sur 500 m²</v>
      </c>
      <c r="C37" s="493"/>
      <c r="D37" s="165">
        <f>D27*$D$8/100</f>
        <v>1281.5</v>
      </c>
      <c r="E37" s="7" t="s">
        <v>69</v>
      </c>
      <c r="F37" s="112">
        <f>_xlfn.IFERROR(D34/D35," ")</f>
        <v>450</v>
      </c>
    </row>
    <row r="38" spans="2:9" ht="15.75">
      <c r="B38" s="176" t="s">
        <v>51</v>
      </c>
      <c r="C38" s="177"/>
      <c r="D38" s="174"/>
      <c r="E38" s="39" t="s">
        <v>44</v>
      </c>
      <c r="F38" s="112">
        <f>_xlfn.IFERROR((PMT(F35/F34,F34*D35,-D34)*F34*D35-D34)/D35," ")</f>
        <v>61.38350668623953</v>
      </c>
      <c r="I38" s="82"/>
    </row>
    <row r="39" spans="2:6" ht="15.75">
      <c r="B39" s="185" t="s">
        <v>18</v>
      </c>
      <c r="C39" s="186"/>
      <c r="D39" s="187"/>
      <c r="E39" s="188" t="s">
        <v>46</v>
      </c>
      <c r="F39" s="187"/>
    </row>
    <row r="40" spans="2:6" ht="17.25" customHeight="1" thickBot="1">
      <c r="B40" s="89" t="s">
        <v>45</v>
      </c>
      <c r="C40" s="90"/>
      <c r="D40" s="114">
        <f>SUM(D37:D39)</f>
        <v>1281.5</v>
      </c>
      <c r="E40" s="89" t="s">
        <v>12</v>
      </c>
      <c r="F40" s="114">
        <f>SUM(F37:F39)</f>
        <v>511.3835066862395</v>
      </c>
    </row>
    <row r="41" spans="2:6" ht="17.25" customHeight="1" thickBot="1">
      <c r="B41" s="494" t="s">
        <v>56</v>
      </c>
      <c r="C41" s="495"/>
      <c r="D41" s="495"/>
      <c r="E41" s="495"/>
      <c r="F41" s="158">
        <f>D40-F40</f>
        <v>770.1164933137604</v>
      </c>
    </row>
    <row r="42" spans="2:6" ht="3.75" customHeight="1" thickBot="1">
      <c r="B42" s="55"/>
      <c r="C42" s="6"/>
      <c r="D42" s="6"/>
      <c r="E42" s="6"/>
      <c r="F42" s="98"/>
    </row>
    <row r="43" spans="2:6" ht="17.25" customHeight="1" thickBot="1">
      <c r="B43" s="494" t="s">
        <v>70</v>
      </c>
      <c r="C43" s="495"/>
      <c r="D43" s="495"/>
      <c r="E43" s="495"/>
      <c r="F43" s="158">
        <f>_xlfn.IFERROR(F41*100/D8," ")</f>
        <v>154.0232986627521</v>
      </c>
    </row>
  </sheetData>
  <sheetProtection sheet="1"/>
  <mergeCells count="16">
    <mergeCell ref="B33:F33"/>
    <mergeCell ref="B34:C34"/>
    <mergeCell ref="B35:C35"/>
    <mergeCell ref="B37:C37"/>
    <mergeCell ref="B41:E41"/>
    <mergeCell ref="B43:E43"/>
    <mergeCell ref="B2:F2"/>
    <mergeCell ref="B4:F4"/>
    <mergeCell ref="C6:F6"/>
    <mergeCell ref="B29:E29"/>
    <mergeCell ref="B31:F31"/>
    <mergeCell ref="B32:D32"/>
    <mergeCell ref="B30:E30"/>
    <mergeCell ref="D5:F5"/>
    <mergeCell ref="B9:C9"/>
    <mergeCell ref="B28:C28"/>
  </mergeCells>
  <conditionalFormatting sqref="F51">
    <cfRule type="cellIs" priority="241" dxfId="1896" operator="lessThan" stopIfTrue="1">
      <formula>0</formula>
    </cfRule>
    <cfRule type="cellIs" priority="242" dxfId="1897" operator="greaterThan" stopIfTrue="1">
      <formula>0</formula>
    </cfRule>
  </conditionalFormatting>
  <conditionalFormatting sqref="F51">
    <cfRule type="cellIs" priority="239" dxfId="1896" operator="lessThan" stopIfTrue="1">
      <formula>0</formula>
    </cfRule>
    <cfRule type="cellIs" priority="240" dxfId="1897" operator="greaterThan" stopIfTrue="1">
      <formula>0</formula>
    </cfRule>
  </conditionalFormatting>
  <conditionalFormatting sqref="F51">
    <cfRule type="cellIs" priority="237" dxfId="1896" operator="lessThan" stopIfTrue="1">
      <formula>0</formula>
    </cfRule>
    <cfRule type="cellIs" priority="238" dxfId="1897" operator="greaterThan" stopIfTrue="1">
      <formula>0</formula>
    </cfRule>
  </conditionalFormatting>
  <conditionalFormatting sqref="F51">
    <cfRule type="cellIs" priority="235" dxfId="1896" operator="lessThan" stopIfTrue="1">
      <formula>0</formula>
    </cfRule>
    <cfRule type="cellIs" priority="236" dxfId="1897" operator="greaterThan" stopIfTrue="1">
      <formula>0</formula>
    </cfRule>
  </conditionalFormatting>
  <conditionalFormatting sqref="F51">
    <cfRule type="cellIs" priority="233" dxfId="1896" operator="lessThan" stopIfTrue="1">
      <formula>0</formula>
    </cfRule>
    <cfRule type="cellIs" priority="234" dxfId="1897" operator="greaterThan" stopIfTrue="1">
      <formula>0</formula>
    </cfRule>
  </conditionalFormatting>
  <conditionalFormatting sqref="F51">
    <cfRule type="cellIs" priority="231" dxfId="1896" operator="lessThan" stopIfTrue="1">
      <formula>0</formula>
    </cfRule>
    <cfRule type="cellIs" priority="232" dxfId="1897" operator="greaterThan" stopIfTrue="1">
      <formula>0</formula>
    </cfRule>
  </conditionalFormatting>
  <conditionalFormatting sqref="F51">
    <cfRule type="cellIs" priority="229" dxfId="1896" operator="lessThan" stopIfTrue="1">
      <formula>0</formula>
    </cfRule>
    <cfRule type="cellIs" priority="230" dxfId="1897" operator="greaterThan" stopIfTrue="1">
      <formula>0</formula>
    </cfRule>
  </conditionalFormatting>
  <conditionalFormatting sqref="F41 F43 F29:F30">
    <cfRule type="cellIs" priority="227" dxfId="1896" operator="lessThan" stopIfTrue="1">
      <formula>0</formula>
    </cfRule>
    <cfRule type="cellIs" priority="228" dxfId="1897" operator="greaterThan" stopIfTrue="1">
      <formula>0</formula>
    </cfRule>
  </conditionalFormatting>
  <conditionalFormatting sqref="F30">
    <cfRule type="cellIs" priority="225" dxfId="1896" operator="lessThan" stopIfTrue="1">
      <formula>0</formula>
    </cfRule>
    <cfRule type="cellIs" priority="226" dxfId="1897" operator="greaterThan" stopIfTrue="1">
      <formula>0</formula>
    </cfRule>
  </conditionalFormatting>
  <conditionalFormatting sqref="F30">
    <cfRule type="cellIs" priority="223" dxfId="1896" operator="lessThan" stopIfTrue="1">
      <formula>0</formula>
    </cfRule>
    <cfRule type="cellIs" priority="224" dxfId="1897" operator="greaterThan" stopIfTrue="1">
      <formula>0</formula>
    </cfRule>
  </conditionalFormatting>
  <conditionalFormatting sqref="F30">
    <cfRule type="cellIs" priority="221" dxfId="1896" operator="lessThan" stopIfTrue="1">
      <formula>0</formula>
    </cfRule>
    <cfRule type="cellIs" priority="222" dxfId="1897" operator="greaterThan" stopIfTrue="1">
      <formula>0</formula>
    </cfRule>
  </conditionalFormatting>
  <conditionalFormatting sqref="F30">
    <cfRule type="cellIs" priority="219" dxfId="1896" operator="lessThan" stopIfTrue="1">
      <formula>0</formula>
    </cfRule>
    <cfRule type="cellIs" priority="220" dxfId="1897" operator="greaterThan" stopIfTrue="1">
      <formula>0</formula>
    </cfRule>
  </conditionalFormatting>
  <conditionalFormatting sqref="F30">
    <cfRule type="cellIs" priority="217" dxfId="1896" operator="lessThan" stopIfTrue="1">
      <formula>0</formula>
    </cfRule>
    <cfRule type="cellIs" priority="218" dxfId="1897" operator="greaterThan" stopIfTrue="1">
      <formula>0</formula>
    </cfRule>
  </conditionalFormatting>
  <conditionalFormatting sqref="F30">
    <cfRule type="cellIs" priority="215" dxfId="1896" operator="lessThan" stopIfTrue="1">
      <formula>0</formula>
    </cfRule>
    <cfRule type="cellIs" priority="216" dxfId="1897" operator="greaterThan" stopIfTrue="1">
      <formula>0</formula>
    </cfRule>
  </conditionalFormatting>
  <conditionalFormatting sqref="F30">
    <cfRule type="cellIs" priority="213" dxfId="1896" operator="lessThan" stopIfTrue="1">
      <formula>0</formula>
    </cfRule>
    <cfRule type="cellIs" priority="214" dxfId="1897" operator="greaterThan" stopIfTrue="1">
      <formula>0</formula>
    </cfRule>
  </conditionalFormatting>
  <conditionalFormatting sqref="F30">
    <cfRule type="cellIs" priority="211" dxfId="1896" operator="lessThan" stopIfTrue="1">
      <formula>0</formula>
    </cfRule>
    <cfRule type="cellIs" priority="212" dxfId="1897" operator="greaterThan" stopIfTrue="1">
      <formula>0</formula>
    </cfRule>
  </conditionalFormatting>
  <conditionalFormatting sqref="F30">
    <cfRule type="cellIs" priority="209" dxfId="1896" operator="lessThan" stopIfTrue="1">
      <formula>0</formula>
    </cfRule>
    <cfRule type="cellIs" priority="210" dxfId="1897" operator="greaterThan" stopIfTrue="1">
      <formula>0</formula>
    </cfRule>
  </conditionalFormatting>
  <conditionalFormatting sqref="F51">
    <cfRule type="cellIs" priority="207" dxfId="1896" operator="lessThan" stopIfTrue="1">
      <formula>0</formula>
    </cfRule>
    <cfRule type="cellIs" priority="208" dxfId="1897" operator="greaterThan" stopIfTrue="1">
      <formula>0</formula>
    </cfRule>
  </conditionalFormatting>
  <conditionalFormatting sqref="F51">
    <cfRule type="cellIs" priority="205" dxfId="1896" operator="lessThan" stopIfTrue="1">
      <formula>0</formula>
    </cfRule>
    <cfRule type="cellIs" priority="206" dxfId="1897" operator="greaterThan" stopIfTrue="1">
      <formula>0</formula>
    </cfRule>
  </conditionalFormatting>
  <conditionalFormatting sqref="F51">
    <cfRule type="cellIs" priority="203" dxfId="1896" operator="lessThan" stopIfTrue="1">
      <formula>0</formula>
    </cfRule>
    <cfRule type="cellIs" priority="204" dxfId="1897" operator="greaterThan" stopIfTrue="1">
      <formula>0</formula>
    </cfRule>
  </conditionalFormatting>
  <conditionalFormatting sqref="F51">
    <cfRule type="cellIs" priority="201" dxfId="1896" operator="lessThan" stopIfTrue="1">
      <formula>0</formula>
    </cfRule>
    <cfRule type="cellIs" priority="202" dxfId="1897" operator="greaterThan" stopIfTrue="1">
      <formula>0</formula>
    </cfRule>
  </conditionalFormatting>
  <conditionalFormatting sqref="F51">
    <cfRule type="cellIs" priority="199" dxfId="1896" operator="lessThan" stopIfTrue="1">
      <formula>0</formula>
    </cfRule>
    <cfRule type="cellIs" priority="200" dxfId="1897" operator="greaterThan" stopIfTrue="1">
      <formula>0</formula>
    </cfRule>
  </conditionalFormatting>
  <conditionalFormatting sqref="F51">
    <cfRule type="cellIs" priority="197" dxfId="1896" operator="lessThan" stopIfTrue="1">
      <formula>0</formula>
    </cfRule>
    <cfRule type="cellIs" priority="198" dxfId="1897" operator="greaterThan" stopIfTrue="1">
      <formula>0</formula>
    </cfRule>
  </conditionalFormatting>
  <conditionalFormatting sqref="F51">
    <cfRule type="cellIs" priority="195" dxfId="1896" operator="lessThan" stopIfTrue="1">
      <formula>0</formula>
    </cfRule>
    <cfRule type="cellIs" priority="196" dxfId="1897" operator="greaterThan" stopIfTrue="1">
      <formula>0</formula>
    </cfRule>
  </conditionalFormatting>
  <conditionalFormatting sqref="F41 F43 F29:F30">
    <cfRule type="cellIs" priority="193" dxfId="1896" operator="lessThan" stopIfTrue="1">
      <formula>0</formula>
    </cfRule>
    <cfRule type="cellIs" priority="194" dxfId="1897" operator="greaterThan" stopIfTrue="1">
      <formula>0</formula>
    </cfRule>
  </conditionalFormatting>
  <conditionalFormatting sqref="F30">
    <cfRule type="cellIs" priority="191" dxfId="1896" operator="lessThan" stopIfTrue="1">
      <formula>0</formula>
    </cfRule>
    <cfRule type="cellIs" priority="192" dxfId="1897" operator="greaterThan" stopIfTrue="1">
      <formula>0</formula>
    </cfRule>
  </conditionalFormatting>
  <conditionalFormatting sqref="F30">
    <cfRule type="cellIs" priority="189" dxfId="1896" operator="lessThan" stopIfTrue="1">
      <formula>0</formula>
    </cfRule>
    <cfRule type="cellIs" priority="190" dxfId="1897" operator="greaterThan" stopIfTrue="1">
      <formula>0</formula>
    </cfRule>
  </conditionalFormatting>
  <conditionalFormatting sqref="F30">
    <cfRule type="cellIs" priority="187" dxfId="1896" operator="lessThan" stopIfTrue="1">
      <formula>0</formula>
    </cfRule>
    <cfRule type="cellIs" priority="188" dxfId="1897" operator="greaterThan" stopIfTrue="1">
      <formula>0</formula>
    </cfRule>
  </conditionalFormatting>
  <conditionalFormatting sqref="F30">
    <cfRule type="cellIs" priority="185" dxfId="1896" operator="lessThan" stopIfTrue="1">
      <formula>0</formula>
    </cfRule>
    <cfRule type="cellIs" priority="186" dxfId="1897" operator="greaterThan" stopIfTrue="1">
      <formula>0</formula>
    </cfRule>
  </conditionalFormatting>
  <conditionalFormatting sqref="F30">
    <cfRule type="cellIs" priority="183" dxfId="1896" operator="lessThan" stopIfTrue="1">
      <formula>0</formula>
    </cfRule>
    <cfRule type="cellIs" priority="184" dxfId="1897" operator="greaterThan" stopIfTrue="1">
      <formula>0</formula>
    </cfRule>
  </conditionalFormatting>
  <conditionalFormatting sqref="F30">
    <cfRule type="cellIs" priority="181" dxfId="1896" operator="lessThan" stopIfTrue="1">
      <formula>0</formula>
    </cfRule>
    <cfRule type="cellIs" priority="182" dxfId="1897" operator="greaterThan" stopIfTrue="1">
      <formula>0</formula>
    </cfRule>
  </conditionalFormatting>
  <conditionalFormatting sqref="F30">
    <cfRule type="cellIs" priority="179" dxfId="1896" operator="lessThan" stopIfTrue="1">
      <formula>0</formula>
    </cfRule>
    <cfRule type="cellIs" priority="180" dxfId="1897" operator="greaterThan" stopIfTrue="1">
      <formula>0</formula>
    </cfRule>
  </conditionalFormatting>
  <conditionalFormatting sqref="F30">
    <cfRule type="cellIs" priority="177" dxfId="1896" operator="lessThan" stopIfTrue="1">
      <formula>0</formula>
    </cfRule>
    <cfRule type="cellIs" priority="178" dxfId="1897" operator="greaterThan" stopIfTrue="1">
      <formula>0</formula>
    </cfRule>
  </conditionalFormatting>
  <conditionalFormatting sqref="F30">
    <cfRule type="cellIs" priority="175" dxfId="1896" operator="lessThan" stopIfTrue="1">
      <formula>0</formula>
    </cfRule>
    <cfRule type="cellIs" priority="176" dxfId="1897" operator="greaterThan" stopIfTrue="1">
      <formula>0</formula>
    </cfRule>
  </conditionalFormatting>
  <conditionalFormatting sqref="F51">
    <cfRule type="cellIs" priority="173" dxfId="1896" operator="lessThan" stopIfTrue="1">
      <formula>0</formula>
    </cfRule>
    <cfRule type="cellIs" priority="174" dxfId="1897" operator="greaterThan" stopIfTrue="1">
      <formula>0</formula>
    </cfRule>
  </conditionalFormatting>
  <conditionalFormatting sqref="F51">
    <cfRule type="cellIs" priority="171" dxfId="1896" operator="lessThan" stopIfTrue="1">
      <formula>0</formula>
    </cfRule>
    <cfRule type="cellIs" priority="172" dxfId="1897" operator="greaterThan" stopIfTrue="1">
      <formula>0</formula>
    </cfRule>
  </conditionalFormatting>
  <conditionalFormatting sqref="F51">
    <cfRule type="cellIs" priority="169" dxfId="1896" operator="lessThan" stopIfTrue="1">
      <formula>0</formula>
    </cfRule>
    <cfRule type="cellIs" priority="170" dxfId="1897" operator="greaterThan" stopIfTrue="1">
      <formula>0</formula>
    </cfRule>
  </conditionalFormatting>
  <conditionalFormatting sqref="F51">
    <cfRule type="cellIs" priority="167" dxfId="1896" operator="lessThan" stopIfTrue="1">
      <formula>0</formula>
    </cfRule>
    <cfRule type="cellIs" priority="168" dxfId="1897" operator="greaterThan" stopIfTrue="1">
      <formula>0</formula>
    </cfRule>
  </conditionalFormatting>
  <conditionalFormatting sqref="F51">
    <cfRule type="cellIs" priority="165" dxfId="1896" operator="lessThan" stopIfTrue="1">
      <formula>0</formula>
    </cfRule>
    <cfRule type="cellIs" priority="166" dxfId="1897" operator="greaterThan" stopIfTrue="1">
      <formula>0</formula>
    </cfRule>
  </conditionalFormatting>
  <conditionalFormatting sqref="F51">
    <cfRule type="cellIs" priority="163" dxfId="1896" operator="lessThan" stopIfTrue="1">
      <formula>0</formula>
    </cfRule>
    <cfRule type="cellIs" priority="164" dxfId="1897" operator="greaterThan" stopIfTrue="1">
      <formula>0</formula>
    </cfRule>
  </conditionalFormatting>
  <conditionalFormatting sqref="F51">
    <cfRule type="cellIs" priority="161" dxfId="1896" operator="lessThan" stopIfTrue="1">
      <formula>0</formula>
    </cfRule>
    <cfRule type="cellIs" priority="162" dxfId="1897" operator="greaterThan" stopIfTrue="1">
      <formula>0</formula>
    </cfRule>
  </conditionalFormatting>
  <conditionalFormatting sqref="F41 F43 F29:F30">
    <cfRule type="cellIs" priority="159" dxfId="1896" operator="lessThan" stopIfTrue="1">
      <formula>0</formula>
    </cfRule>
    <cfRule type="cellIs" priority="160" dxfId="1897" operator="greaterThan" stopIfTrue="1">
      <formula>0</formula>
    </cfRule>
  </conditionalFormatting>
  <conditionalFormatting sqref="F30">
    <cfRule type="cellIs" priority="157" dxfId="1896" operator="lessThan" stopIfTrue="1">
      <formula>0</formula>
    </cfRule>
    <cfRule type="cellIs" priority="158" dxfId="1897" operator="greaterThan" stopIfTrue="1">
      <formula>0</formula>
    </cfRule>
  </conditionalFormatting>
  <conditionalFormatting sqref="F30">
    <cfRule type="cellIs" priority="155" dxfId="1896" operator="lessThan" stopIfTrue="1">
      <formula>0</formula>
    </cfRule>
    <cfRule type="cellIs" priority="156" dxfId="1897" operator="greaterThan" stopIfTrue="1">
      <formula>0</formula>
    </cfRule>
  </conditionalFormatting>
  <conditionalFormatting sqref="F30">
    <cfRule type="cellIs" priority="153" dxfId="1896" operator="lessThan" stopIfTrue="1">
      <formula>0</formula>
    </cfRule>
    <cfRule type="cellIs" priority="154" dxfId="1897" operator="greaterThan" stopIfTrue="1">
      <formula>0</formula>
    </cfRule>
  </conditionalFormatting>
  <conditionalFormatting sqref="F30">
    <cfRule type="cellIs" priority="151" dxfId="1896" operator="lessThan" stopIfTrue="1">
      <formula>0</formula>
    </cfRule>
    <cfRule type="cellIs" priority="152" dxfId="1897" operator="greaterThan" stopIfTrue="1">
      <formula>0</formula>
    </cfRule>
  </conditionalFormatting>
  <conditionalFormatting sqref="F30">
    <cfRule type="cellIs" priority="149" dxfId="1896" operator="lessThan" stopIfTrue="1">
      <formula>0</formula>
    </cfRule>
    <cfRule type="cellIs" priority="150" dxfId="1897" operator="greaterThan" stopIfTrue="1">
      <formula>0</formula>
    </cfRule>
  </conditionalFormatting>
  <conditionalFormatting sqref="F30">
    <cfRule type="cellIs" priority="147" dxfId="1896" operator="lessThan" stopIfTrue="1">
      <formula>0</formula>
    </cfRule>
    <cfRule type="cellIs" priority="148" dxfId="1897" operator="greaterThan" stopIfTrue="1">
      <formula>0</formula>
    </cfRule>
  </conditionalFormatting>
  <conditionalFormatting sqref="F30">
    <cfRule type="cellIs" priority="145" dxfId="1896" operator="lessThan" stopIfTrue="1">
      <formula>0</formula>
    </cfRule>
    <cfRule type="cellIs" priority="146" dxfId="1897" operator="greaterThan" stopIfTrue="1">
      <formula>0</formula>
    </cfRule>
  </conditionalFormatting>
  <conditionalFormatting sqref="F30">
    <cfRule type="cellIs" priority="143" dxfId="1896" operator="lessThan" stopIfTrue="1">
      <formula>0</formula>
    </cfRule>
    <cfRule type="cellIs" priority="144" dxfId="1897" operator="greaterThan" stopIfTrue="1">
      <formula>0</formula>
    </cfRule>
  </conditionalFormatting>
  <conditionalFormatting sqref="F30">
    <cfRule type="cellIs" priority="141" dxfId="1896" operator="lessThan" stopIfTrue="1">
      <formula>0</formula>
    </cfRule>
    <cfRule type="cellIs" priority="142" dxfId="1897" operator="greaterThan" stopIfTrue="1">
      <formula>0</formula>
    </cfRule>
  </conditionalFormatting>
  <conditionalFormatting sqref="F51">
    <cfRule type="cellIs" priority="139" dxfId="1896" operator="lessThan" stopIfTrue="1">
      <formula>0</formula>
    </cfRule>
    <cfRule type="cellIs" priority="140" dxfId="1897" operator="greaterThan" stopIfTrue="1">
      <formula>0</formula>
    </cfRule>
  </conditionalFormatting>
  <conditionalFormatting sqref="F51">
    <cfRule type="cellIs" priority="137" dxfId="1896" operator="lessThan" stopIfTrue="1">
      <formula>0</formula>
    </cfRule>
    <cfRule type="cellIs" priority="138" dxfId="1897" operator="greaterThan" stopIfTrue="1">
      <formula>0</formula>
    </cfRule>
  </conditionalFormatting>
  <conditionalFormatting sqref="F51">
    <cfRule type="cellIs" priority="135" dxfId="1896" operator="lessThan" stopIfTrue="1">
      <formula>0</formula>
    </cfRule>
    <cfRule type="cellIs" priority="136" dxfId="1897" operator="greaterThan" stopIfTrue="1">
      <formula>0</formula>
    </cfRule>
  </conditionalFormatting>
  <conditionalFormatting sqref="F51">
    <cfRule type="cellIs" priority="133" dxfId="1896" operator="lessThan" stopIfTrue="1">
      <formula>0</formula>
    </cfRule>
    <cfRule type="cellIs" priority="134" dxfId="1897" operator="greaterThan" stopIfTrue="1">
      <formula>0</formula>
    </cfRule>
  </conditionalFormatting>
  <conditionalFormatting sqref="F51">
    <cfRule type="cellIs" priority="131" dxfId="1896" operator="lessThan" stopIfTrue="1">
      <formula>0</formula>
    </cfRule>
    <cfRule type="cellIs" priority="132" dxfId="1897" operator="greaterThan" stopIfTrue="1">
      <formula>0</formula>
    </cfRule>
  </conditionalFormatting>
  <conditionalFormatting sqref="F51">
    <cfRule type="cellIs" priority="129" dxfId="1896" operator="lessThan" stopIfTrue="1">
      <formula>0</formula>
    </cfRule>
    <cfRule type="cellIs" priority="130" dxfId="1897" operator="greaterThan" stopIfTrue="1">
      <formula>0</formula>
    </cfRule>
  </conditionalFormatting>
  <conditionalFormatting sqref="F41 F43 F29:F30">
    <cfRule type="cellIs" priority="127" dxfId="1896" operator="lessThan" stopIfTrue="1">
      <formula>0</formula>
    </cfRule>
    <cfRule type="cellIs" priority="128" dxfId="1897" operator="greaterThan" stopIfTrue="1">
      <formula>0</formula>
    </cfRule>
  </conditionalFormatting>
  <conditionalFormatting sqref="F30">
    <cfRule type="cellIs" priority="125" dxfId="1896" operator="lessThan" stopIfTrue="1">
      <formula>0</formula>
    </cfRule>
    <cfRule type="cellIs" priority="126" dxfId="1897" operator="greaterThan" stopIfTrue="1">
      <formula>0</formula>
    </cfRule>
  </conditionalFormatting>
  <conditionalFormatting sqref="F30">
    <cfRule type="cellIs" priority="123" dxfId="1896" operator="lessThan" stopIfTrue="1">
      <formula>0</formula>
    </cfRule>
    <cfRule type="cellIs" priority="124" dxfId="1897" operator="greaterThan" stopIfTrue="1">
      <formula>0</formula>
    </cfRule>
  </conditionalFormatting>
  <conditionalFormatting sqref="F30">
    <cfRule type="cellIs" priority="121" dxfId="1896" operator="lessThan" stopIfTrue="1">
      <formula>0</formula>
    </cfRule>
    <cfRule type="cellIs" priority="122" dxfId="1897" operator="greaterThan" stopIfTrue="1">
      <formula>0</formula>
    </cfRule>
  </conditionalFormatting>
  <conditionalFormatting sqref="F30">
    <cfRule type="cellIs" priority="119" dxfId="1896" operator="lessThan" stopIfTrue="1">
      <formula>0</formula>
    </cfRule>
    <cfRule type="cellIs" priority="120" dxfId="1897" operator="greaterThan" stopIfTrue="1">
      <formula>0</formula>
    </cfRule>
  </conditionalFormatting>
  <conditionalFormatting sqref="F30">
    <cfRule type="cellIs" priority="117" dxfId="1896" operator="lessThan" stopIfTrue="1">
      <formula>0</formula>
    </cfRule>
    <cfRule type="cellIs" priority="118" dxfId="1897" operator="greaterThan" stopIfTrue="1">
      <formula>0</formula>
    </cfRule>
  </conditionalFormatting>
  <conditionalFormatting sqref="F30">
    <cfRule type="cellIs" priority="115" dxfId="1896" operator="lessThan" stopIfTrue="1">
      <formula>0</formula>
    </cfRule>
    <cfRule type="cellIs" priority="116" dxfId="1897" operator="greaterThan" stopIfTrue="1">
      <formula>0</formula>
    </cfRule>
  </conditionalFormatting>
  <conditionalFormatting sqref="F30">
    <cfRule type="cellIs" priority="113" dxfId="1896" operator="lessThan" stopIfTrue="1">
      <formula>0</formula>
    </cfRule>
    <cfRule type="cellIs" priority="114" dxfId="1897" operator="greaterThan" stopIfTrue="1">
      <formula>0</formula>
    </cfRule>
  </conditionalFormatting>
  <conditionalFormatting sqref="F30">
    <cfRule type="cellIs" priority="111" dxfId="1896" operator="lessThan" stopIfTrue="1">
      <formula>0</formula>
    </cfRule>
    <cfRule type="cellIs" priority="112" dxfId="1897" operator="greaterThan" stopIfTrue="1">
      <formula>0</formula>
    </cfRule>
  </conditionalFormatting>
  <conditionalFormatting sqref="F30">
    <cfRule type="cellIs" priority="109" dxfId="1896" operator="lessThan" stopIfTrue="1">
      <formula>0</formula>
    </cfRule>
    <cfRule type="cellIs" priority="110" dxfId="1897" operator="greaterThan" stopIfTrue="1">
      <formula>0</formula>
    </cfRule>
  </conditionalFormatting>
  <conditionalFormatting sqref="F51">
    <cfRule type="cellIs" priority="107" dxfId="1896" operator="lessThan" stopIfTrue="1">
      <formula>0</formula>
    </cfRule>
    <cfRule type="cellIs" priority="108" dxfId="1897" operator="greaterThan" stopIfTrue="1">
      <formula>0</formula>
    </cfRule>
  </conditionalFormatting>
  <conditionalFormatting sqref="F51">
    <cfRule type="cellIs" priority="105" dxfId="1896" operator="lessThan" stopIfTrue="1">
      <formula>0</formula>
    </cfRule>
    <cfRule type="cellIs" priority="106" dxfId="1897" operator="greaterThan" stopIfTrue="1">
      <formula>0</formula>
    </cfRule>
  </conditionalFormatting>
  <conditionalFormatting sqref="F51">
    <cfRule type="cellIs" priority="103" dxfId="1896" operator="lessThan" stopIfTrue="1">
      <formula>0</formula>
    </cfRule>
    <cfRule type="cellIs" priority="104" dxfId="1897" operator="greaterThan" stopIfTrue="1">
      <formula>0</formula>
    </cfRule>
  </conditionalFormatting>
  <conditionalFormatting sqref="F51">
    <cfRule type="cellIs" priority="101" dxfId="1896" operator="lessThan" stopIfTrue="1">
      <formula>0</formula>
    </cfRule>
    <cfRule type="cellIs" priority="102" dxfId="1897" operator="greaterThan" stopIfTrue="1">
      <formula>0</formula>
    </cfRule>
  </conditionalFormatting>
  <conditionalFormatting sqref="F51">
    <cfRule type="cellIs" priority="99" dxfId="1896" operator="lessThan" stopIfTrue="1">
      <formula>0</formula>
    </cfRule>
    <cfRule type="cellIs" priority="100" dxfId="1897" operator="greaterThan" stopIfTrue="1">
      <formula>0</formula>
    </cfRule>
  </conditionalFormatting>
  <conditionalFormatting sqref="F41 F43 F29:F30">
    <cfRule type="cellIs" priority="97" dxfId="1896" operator="lessThan" stopIfTrue="1">
      <formula>0</formula>
    </cfRule>
    <cfRule type="cellIs" priority="98" dxfId="1897" operator="greaterThan" stopIfTrue="1">
      <formula>0</formula>
    </cfRule>
  </conditionalFormatting>
  <conditionalFormatting sqref="F30">
    <cfRule type="cellIs" priority="95" dxfId="1896" operator="lessThan" stopIfTrue="1">
      <formula>0</formula>
    </cfRule>
    <cfRule type="cellIs" priority="96" dxfId="1897" operator="greaterThan" stopIfTrue="1">
      <formula>0</formula>
    </cfRule>
  </conditionalFormatting>
  <conditionalFormatting sqref="F30">
    <cfRule type="cellIs" priority="93" dxfId="1896" operator="lessThan" stopIfTrue="1">
      <formula>0</formula>
    </cfRule>
    <cfRule type="cellIs" priority="94" dxfId="1897" operator="greaterThan" stopIfTrue="1">
      <formula>0</formula>
    </cfRule>
  </conditionalFormatting>
  <conditionalFormatting sqref="F30">
    <cfRule type="cellIs" priority="91" dxfId="1896" operator="lessThan" stopIfTrue="1">
      <formula>0</formula>
    </cfRule>
    <cfRule type="cellIs" priority="92" dxfId="1897" operator="greaterThan" stopIfTrue="1">
      <formula>0</formula>
    </cfRule>
  </conditionalFormatting>
  <conditionalFormatting sqref="F30">
    <cfRule type="cellIs" priority="89" dxfId="1896" operator="lessThan" stopIfTrue="1">
      <formula>0</formula>
    </cfRule>
    <cfRule type="cellIs" priority="90" dxfId="1897" operator="greaterThan" stopIfTrue="1">
      <formula>0</formula>
    </cfRule>
  </conditionalFormatting>
  <conditionalFormatting sqref="F30">
    <cfRule type="cellIs" priority="87" dxfId="1896" operator="lessThan" stopIfTrue="1">
      <formula>0</formula>
    </cfRule>
    <cfRule type="cellIs" priority="88" dxfId="1897" operator="greaterThan" stopIfTrue="1">
      <formula>0</formula>
    </cfRule>
  </conditionalFormatting>
  <conditionalFormatting sqref="F30">
    <cfRule type="cellIs" priority="85" dxfId="1896" operator="lessThan" stopIfTrue="1">
      <formula>0</formula>
    </cfRule>
    <cfRule type="cellIs" priority="86" dxfId="1897" operator="greaterThan" stopIfTrue="1">
      <formula>0</formula>
    </cfRule>
  </conditionalFormatting>
  <conditionalFormatting sqref="F30">
    <cfRule type="cellIs" priority="83" dxfId="1896" operator="lessThan" stopIfTrue="1">
      <formula>0</formula>
    </cfRule>
    <cfRule type="cellIs" priority="84" dxfId="1897" operator="greaterThan" stopIfTrue="1">
      <formula>0</formula>
    </cfRule>
  </conditionalFormatting>
  <conditionalFormatting sqref="F30">
    <cfRule type="cellIs" priority="81" dxfId="1896" operator="lessThan" stopIfTrue="1">
      <formula>0</formula>
    </cfRule>
    <cfRule type="cellIs" priority="82" dxfId="1897" operator="greaterThan" stopIfTrue="1">
      <formula>0</formula>
    </cfRule>
  </conditionalFormatting>
  <conditionalFormatting sqref="F30">
    <cfRule type="cellIs" priority="79" dxfId="1896" operator="lessThan" stopIfTrue="1">
      <formula>0</formula>
    </cfRule>
    <cfRule type="cellIs" priority="80" dxfId="1897" operator="greaterThan" stopIfTrue="1">
      <formula>0</formula>
    </cfRule>
  </conditionalFormatting>
  <conditionalFormatting sqref="F51">
    <cfRule type="cellIs" priority="77" dxfId="1896" operator="lessThan" stopIfTrue="1">
      <formula>0</formula>
    </cfRule>
    <cfRule type="cellIs" priority="78" dxfId="1897" operator="greaterThan" stopIfTrue="1">
      <formula>0</formula>
    </cfRule>
  </conditionalFormatting>
  <conditionalFormatting sqref="F51">
    <cfRule type="cellIs" priority="75" dxfId="1896" operator="lessThan" stopIfTrue="1">
      <formula>0</formula>
    </cfRule>
    <cfRule type="cellIs" priority="76" dxfId="1897" operator="greaterThan" stopIfTrue="1">
      <formula>0</formula>
    </cfRule>
  </conditionalFormatting>
  <conditionalFormatting sqref="F51">
    <cfRule type="cellIs" priority="73" dxfId="1896" operator="lessThan" stopIfTrue="1">
      <formula>0</formula>
    </cfRule>
    <cfRule type="cellIs" priority="74" dxfId="1897" operator="greaterThan" stopIfTrue="1">
      <formula>0</formula>
    </cfRule>
  </conditionalFormatting>
  <conditionalFormatting sqref="F51">
    <cfRule type="cellIs" priority="71" dxfId="1896" operator="lessThan" stopIfTrue="1">
      <formula>0</formula>
    </cfRule>
    <cfRule type="cellIs" priority="72" dxfId="1897" operator="greaterThan" stopIfTrue="1">
      <formula>0</formula>
    </cfRule>
  </conditionalFormatting>
  <conditionalFormatting sqref="F41 F43 F29:F30">
    <cfRule type="cellIs" priority="69" dxfId="1896" operator="lessThan" stopIfTrue="1">
      <formula>0</formula>
    </cfRule>
    <cfRule type="cellIs" priority="70" dxfId="1897" operator="greaterThan" stopIfTrue="1">
      <formula>0</formula>
    </cfRule>
  </conditionalFormatting>
  <conditionalFormatting sqref="F30">
    <cfRule type="cellIs" priority="67" dxfId="1896" operator="lessThan" stopIfTrue="1">
      <formula>0</formula>
    </cfRule>
    <cfRule type="cellIs" priority="68" dxfId="1897" operator="greaterThan" stopIfTrue="1">
      <formula>0</formula>
    </cfRule>
  </conditionalFormatting>
  <conditionalFormatting sqref="F30">
    <cfRule type="cellIs" priority="65" dxfId="1896" operator="lessThan" stopIfTrue="1">
      <formula>0</formula>
    </cfRule>
    <cfRule type="cellIs" priority="66" dxfId="1897" operator="greaterThan" stopIfTrue="1">
      <formula>0</formula>
    </cfRule>
  </conditionalFormatting>
  <conditionalFormatting sqref="F30">
    <cfRule type="cellIs" priority="63" dxfId="1896" operator="lessThan" stopIfTrue="1">
      <formula>0</formula>
    </cfRule>
    <cfRule type="cellIs" priority="64" dxfId="1897" operator="greaterThan" stopIfTrue="1">
      <formula>0</formula>
    </cfRule>
  </conditionalFormatting>
  <conditionalFormatting sqref="F30">
    <cfRule type="cellIs" priority="61" dxfId="1896" operator="lessThan" stopIfTrue="1">
      <formula>0</formula>
    </cfRule>
    <cfRule type="cellIs" priority="62" dxfId="1897" operator="greaterThan" stopIfTrue="1">
      <formula>0</formula>
    </cfRule>
  </conditionalFormatting>
  <conditionalFormatting sqref="F30">
    <cfRule type="cellIs" priority="59" dxfId="1896" operator="lessThan" stopIfTrue="1">
      <formula>0</formula>
    </cfRule>
    <cfRule type="cellIs" priority="60" dxfId="1897" operator="greaterThan" stopIfTrue="1">
      <formula>0</formula>
    </cfRule>
  </conditionalFormatting>
  <conditionalFormatting sqref="F30">
    <cfRule type="cellIs" priority="57" dxfId="1896" operator="lessThan" stopIfTrue="1">
      <formula>0</formula>
    </cfRule>
    <cfRule type="cellIs" priority="58" dxfId="1897" operator="greaterThan" stopIfTrue="1">
      <formula>0</formula>
    </cfRule>
  </conditionalFormatting>
  <conditionalFormatting sqref="F30">
    <cfRule type="cellIs" priority="55" dxfId="1896" operator="lessThan" stopIfTrue="1">
      <formula>0</formula>
    </cfRule>
    <cfRule type="cellIs" priority="56" dxfId="1897" operator="greaterThan" stopIfTrue="1">
      <formula>0</formula>
    </cfRule>
  </conditionalFormatting>
  <conditionalFormatting sqref="F30">
    <cfRule type="cellIs" priority="53" dxfId="1896" operator="lessThan" stopIfTrue="1">
      <formula>0</formula>
    </cfRule>
    <cfRule type="cellIs" priority="54" dxfId="1897" operator="greaterThan" stopIfTrue="1">
      <formula>0</formula>
    </cfRule>
  </conditionalFormatting>
  <conditionalFormatting sqref="F30">
    <cfRule type="cellIs" priority="51" dxfId="1896" operator="lessThan" stopIfTrue="1">
      <formula>0</formula>
    </cfRule>
    <cfRule type="cellIs" priority="52" dxfId="1897" operator="greaterThan" stopIfTrue="1">
      <formula>0</formula>
    </cfRule>
  </conditionalFormatting>
  <conditionalFormatting sqref="F51">
    <cfRule type="cellIs" priority="49" dxfId="1896" operator="lessThan" stopIfTrue="1">
      <formula>0</formula>
    </cfRule>
    <cfRule type="cellIs" priority="50" dxfId="1897" operator="greaterThan" stopIfTrue="1">
      <formula>0</formula>
    </cfRule>
  </conditionalFormatting>
  <conditionalFormatting sqref="F51">
    <cfRule type="cellIs" priority="47" dxfId="1896" operator="lessThan" stopIfTrue="1">
      <formula>0</formula>
    </cfRule>
    <cfRule type="cellIs" priority="48" dxfId="1897" operator="greaterThan" stopIfTrue="1">
      <formula>0</formula>
    </cfRule>
  </conditionalFormatting>
  <conditionalFormatting sqref="F51">
    <cfRule type="cellIs" priority="45" dxfId="1896" operator="lessThan" stopIfTrue="1">
      <formula>0</formula>
    </cfRule>
    <cfRule type="cellIs" priority="46" dxfId="1897" operator="greaterThan" stopIfTrue="1">
      <formula>0</formula>
    </cfRule>
  </conditionalFormatting>
  <conditionalFormatting sqref="F41 F43 F29:F30">
    <cfRule type="cellIs" priority="43" dxfId="1896" operator="lessThan" stopIfTrue="1">
      <formula>0</formula>
    </cfRule>
    <cfRule type="cellIs" priority="44" dxfId="1897" operator="greaterThan" stopIfTrue="1">
      <formula>0</formula>
    </cfRule>
  </conditionalFormatting>
  <conditionalFormatting sqref="F30">
    <cfRule type="cellIs" priority="41" dxfId="1896" operator="lessThan" stopIfTrue="1">
      <formula>0</formula>
    </cfRule>
    <cfRule type="cellIs" priority="42" dxfId="1897" operator="greaterThan" stopIfTrue="1">
      <formula>0</formula>
    </cfRule>
  </conditionalFormatting>
  <conditionalFormatting sqref="F30">
    <cfRule type="cellIs" priority="39" dxfId="1896" operator="lessThan" stopIfTrue="1">
      <formula>0</formula>
    </cfRule>
    <cfRule type="cellIs" priority="40" dxfId="1897" operator="greaterThan" stopIfTrue="1">
      <formula>0</formula>
    </cfRule>
  </conditionalFormatting>
  <conditionalFormatting sqref="F30">
    <cfRule type="cellIs" priority="37" dxfId="1896" operator="lessThan" stopIfTrue="1">
      <formula>0</formula>
    </cfRule>
    <cfRule type="cellIs" priority="38" dxfId="1897" operator="greaterThan" stopIfTrue="1">
      <formula>0</formula>
    </cfRule>
  </conditionalFormatting>
  <conditionalFormatting sqref="F30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30">
    <cfRule type="cellIs" priority="33" dxfId="1896" operator="lessThan" stopIfTrue="1">
      <formula>0</formula>
    </cfRule>
    <cfRule type="cellIs" priority="34" dxfId="1897" operator="greaterThan" stopIfTrue="1">
      <formula>0</formula>
    </cfRule>
  </conditionalFormatting>
  <conditionalFormatting sqref="F30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0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0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0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51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51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41 F43 F29:F30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0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0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0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0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3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0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0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0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0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ignoredErrors>
    <ignoredError sqref="D21" formula="1"/>
    <ignoredError sqref="D11 F1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43"/>
  <sheetViews>
    <sheetView showZeros="0" zoomScale="90" zoomScaleNormal="90" zoomScalePageLayoutView="0" workbookViewId="0" topLeftCell="A2">
      <selection activeCell="B2" sqref="B2:F2"/>
    </sheetView>
  </sheetViews>
  <sheetFormatPr defaultColWidth="11.421875" defaultRowHeight="15"/>
  <cols>
    <col min="1" max="1" width="4.28125" style="0" customWidth="1"/>
    <col min="2" max="2" width="42.28125" style="0" customWidth="1"/>
    <col min="3" max="3" width="10.8515625" style="0" customWidth="1"/>
    <col min="4" max="4" width="12.7109375" style="0" customWidth="1"/>
    <col min="5" max="5" width="39.8515625" style="0" customWidth="1"/>
    <col min="6" max="6" width="14.8515625" style="0" customWidth="1"/>
    <col min="7" max="7" width="2.28125" style="0" customWidth="1"/>
    <col min="8" max="8" width="6.00390625" style="0" customWidth="1"/>
  </cols>
  <sheetData>
    <row r="1" ht="15.75" hidden="1" thickBot="1"/>
    <row r="2" spans="2:6" ht="26.25">
      <c r="B2" s="467" t="s">
        <v>72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96" t="str">
        <f>1!B4:F4</f>
        <v>Tomates beefsteak (culture)</v>
      </c>
      <c r="C4" s="497"/>
      <c r="D4" s="497"/>
      <c r="E4" s="497"/>
      <c r="F4" s="498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142</v>
      </c>
      <c r="D6" s="473"/>
      <c r="E6" s="473"/>
      <c r="F6" s="474"/>
    </row>
    <row r="7" spans="2:7" ht="15">
      <c r="B7" s="86" t="s">
        <v>150</v>
      </c>
      <c r="C7" s="160"/>
      <c r="D7" s="342">
        <f>1!D7</f>
        <v>13</v>
      </c>
      <c r="E7" s="350" t="s">
        <v>53</v>
      </c>
      <c r="F7" s="344">
        <v>100</v>
      </c>
      <c r="G7" s="80"/>
    </row>
    <row r="8" spans="2:6" ht="15">
      <c r="B8" s="86" t="s">
        <v>39</v>
      </c>
      <c r="C8" s="159"/>
      <c r="D8" s="345">
        <f>1!D8</f>
        <v>500</v>
      </c>
      <c r="E8" s="351" t="s">
        <v>34</v>
      </c>
      <c r="F8" s="347">
        <v>20</v>
      </c>
    </row>
    <row r="9" spans="2:7" ht="15.75" thickBot="1">
      <c r="B9" s="485" t="s">
        <v>131</v>
      </c>
      <c r="C9" s="486"/>
      <c r="D9" s="348">
        <f>1!$D$9</f>
        <v>0.7</v>
      </c>
      <c r="E9" s="352" t="s">
        <v>42</v>
      </c>
      <c r="F9" s="348">
        <f>1!F9</f>
        <v>0.05</v>
      </c>
      <c r="G9" s="82"/>
    </row>
    <row r="10" spans="2:6" ht="16.5" customHeight="1">
      <c r="B10" s="51" t="s">
        <v>9</v>
      </c>
      <c r="C10" s="73"/>
      <c r="D10" s="17" t="s">
        <v>7</v>
      </c>
      <c r="E10" s="87" t="s">
        <v>22</v>
      </c>
      <c r="F10" s="88" t="s">
        <v>8</v>
      </c>
    </row>
    <row r="11" spans="2:6" ht="15.75">
      <c r="B11" s="176" t="s">
        <v>18</v>
      </c>
      <c r="C11" s="177"/>
      <c r="D11" s="178"/>
      <c r="E11" s="179" t="s">
        <v>18</v>
      </c>
      <c r="F11" s="178"/>
    </row>
    <row r="12" spans="2:6" ht="15.75">
      <c r="B12" s="176" t="s">
        <v>18</v>
      </c>
      <c r="C12" s="177"/>
      <c r="D12" s="180"/>
      <c r="E12" s="181"/>
      <c r="F12" s="180"/>
    </row>
    <row r="13" spans="2:6" ht="16.5" thickBot="1">
      <c r="B13" s="89" t="s">
        <v>1</v>
      </c>
      <c r="C13" s="90"/>
      <c r="D13" s="114">
        <f>SUM(D11:D12)</f>
        <v>0</v>
      </c>
      <c r="E13" s="91" t="s">
        <v>2</v>
      </c>
      <c r="F13" s="114">
        <f>SUM(F11:F12)</f>
        <v>0</v>
      </c>
    </row>
    <row r="14" spans="2:6" ht="3.75" customHeight="1" thickBot="1">
      <c r="B14" s="57"/>
      <c r="C14" s="9"/>
      <c r="D14" s="8"/>
      <c r="E14" s="9"/>
      <c r="F14" s="10"/>
    </row>
    <row r="15" spans="2:6" ht="15.75">
      <c r="B15" s="58" t="s">
        <v>3</v>
      </c>
      <c r="C15" s="76"/>
      <c r="D15" s="15"/>
      <c r="E15" s="36" t="s">
        <v>23</v>
      </c>
      <c r="F15" s="16"/>
    </row>
    <row r="16" spans="2:6" ht="15">
      <c r="B16" s="54"/>
      <c r="C16" s="327" t="s">
        <v>135</v>
      </c>
      <c r="D16" s="326" t="s">
        <v>133</v>
      </c>
      <c r="E16" s="20" t="s">
        <v>18</v>
      </c>
      <c r="F16" s="326" t="s">
        <v>38</v>
      </c>
    </row>
    <row r="17" spans="1:6" ht="15">
      <c r="A17" s="79"/>
      <c r="B17" s="84" t="s">
        <v>48</v>
      </c>
      <c r="C17" s="77"/>
      <c r="D17" s="27"/>
      <c r="E17" s="323" t="s">
        <v>92</v>
      </c>
      <c r="F17" s="309"/>
    </row>
    <row r="18" spans="1:6" ht="15" customHeight="1">
      <c r="A18" s="117"/>
      <c r="B18" s="311" t="s">
        <v>93</v>
      </c>
      <c r="C18" s="304">
        <v>0.01</v>
      </c>
      <c r="D18" s="307">
        <f>C18*$D$7</f>
        <v>0.13</v>
      </c>
      <c r="E18" s="323"/>
      <c r="F18" s="309"/>
    </row>
    <row r="19" spans="1:6" ht="15">
      <c r="A19" s="117"/>
      <c r="B19" s="311"/>
      <c r="C19" s="304"/>
      <c r="D19" s="307">
        <f aca="true" t="shared" si="0" ref="D19:D24">C19*$D$8</f>
        <v>0</v>
      </c>
      <c r="E19" s="323" t="s">
        <v>18</v>
      </c>
      <c r="F19" s="309"/>
    </row>
    <row r="20" spans="1:7" ht="25.5">
      <c r="A20" s="117"/>
      <c r="B20" s="312" t="s">
        <v>47</v>
      </c>
      <c r="C20" s="175"/>
      <c r="D20" s="308">
        <f t="shared" si="0"/>
        <v>0</v>
      </c>
      <c r="E20" s="323"/>
      <c r="F20" s="309"/>
      <c r="G20" s="82"/>
    </row>
    <row r="21" spans="1:7" ht="15">
      <c r="A21" s="117"/>
      <c r="B21" s="311" t="s">
        <v>93</v>
      </c>
      <c r="C21" s="304">
        <v>0.17</v>
      </c>
      <c r="D21" s="307">
        <f>C21*$D$7</f>
        <v>2.21</v>
      </c>
      <c r="E21" s="323"/>
      <c r="F21" s="309"/>
      <c r="G21" s="79"/>
    </row>
    <row r="22" spans="1:7" ht="15">
      <c r="A22" s="117"/>
      <c r="B22" s="311"/>
      <c r="C22" s="304"/>
      <c r="D22" s="307">
        <f t="shared" si="0"/>
        <v>0</v>
      </c>
      <c r="E22" s="362" t="s">
        <v>28</v>
      </c>
      <c r="F22" s="307">
        <f>_xlfn.IFERROR(F7/F8*100/D8," ")</f>
        <v>1</v>
      </c>
      <c r="G22" s="79"/>
    </row>
    <row r="23" spans="1:7" ht="15">
      <c r="A23" s="117"/>
      <c r="B23" s="311"/>
      <c r="C23" s="304"/>
      <c r="D23" s="307">
        <f t="shared" si="0"/>
        <v>0</v>
      </c>
      <c r="E23" s="362" t="s">
        <v>52</v>
      </c>
      <c r="F23" s="307">
        <f>_xlfn.IFERROR((((-(PMT($F$9/1,$F$8*1,$F$7)))*$F$8*1-$F$7))/$F$8*100/$D$8," ")</f>
        <v>0.6048517438138262</v>
      </c>
      <c r="G23" s="111"/>
    </row>
    <row r="24" spans="1:7" ht="15">
      <c r="A24" s="79"/>
      <c r="B24" s="311"/>
      <c r="C24" s="305"/>
      <c r="D24" s="307">
        <f t="shared" si="0"/>
        <v>0</v>
      </c>
      <c r="E24" s="313" t="s">
        <v>18</v>
      </c>
      <c r="F24" s="310"/>
      <c r="G24" s="79"/>
    </row>
    <row r="25" spans="1:6" ht="16.5" thickBot="1">
      <c r="A25" s="79"/>
      <c r="B25" s="89" t="s">
        <v>5</v>
      </c>
      <c r="C25" s="317">
        <f>SUM(C18:C24)</f>
        <v>0.18000000000000002</v>
      </c>
      <c r="D25" s="115">
        <f>SUM(D17:D24)</f>
        <v>2.34</v>
      </c>
      <c r="E25" s="91" t="s">
        <v>6</v>
      </c>
      <c r="F25" s="116">
        <f>SUM(F17:F24)</f>
        <v>1.6048517438138261</v>
      </c>
    </row>
    <row r="26" spans="1:6" ht="5.25" customHeight="1">
      <c r="A26" s="79"/>
      <c r="B26" s="102"/>
      <c r="C26" s="103"/>
      <c r="D26" s="104"/>
      <c r="E26" s="105"/>
      <c r="F26" s="106"/>
    </row>
    <row r="27" spans="1:6" ht="16.5" customHeight="1" thickBot="1">
      <c r="A27" s="79"/>
      <c r="B27" s="93" t="s">
        <v>40</v>
      </c>
      <c r="C27" s="316"/>
      <c r="D27" s="95">
        <f>+D25+D13</f>
        <v>2.34</v>
      </c>
      <c r="E27" s="94" t="s">
        <v>41</v>
      </c>
      <c r="F27" s="95">
        <f>+F25+F13</f>
        <v>1.6048517438138261</v>
      </c>
    </row>
    <row r="28" spans="1:6" ht="29.25" customHeight="1" thickBot="1">
      <c r="A28" s="79"/>
      <c r="B28" s="483" t="s">
        <v>158</v>
      </c>
      <c r="C28" s="484"/>
      <c r="D28" s="314">
        <f>D25-D25/(1+(1-$D$9))</f>
        <v>0.54</v>
      </c>
      <c r="E28" s="96"/>
      <c r="F28" s="97"/>
    </row>
    <row r="29" spans="1:6" ht="16.5" customHeight="1" thickBot="1">
      <c r="A29" s="79"/>
      <c r="B29" s="494" t="s">
        <v>64</v>
      </c>
      <c r="C29" s="495"/>
      <c r="D29" s="495"/>
      <c r="E29" s="495"/>
      <c r="F29" s="158">
        <f>D27-F27</f>
        <v>0.7351482561861737</v>
      </c>
    </row>
    <row r="30" spans="1:6" ht="16.5" customHeight="1" thickBot="1">
      <c r="A30" s="79"/>
      <c r="B30" s="479" t="s">
        <v>115</v>
      </c>
      <c r="C30" s="480"/>
      <c r="D30" s="480"/>
      <c r="E30" s="480"/>
      <c r="F30" s="293">
        <f>_xlfn.IFERROR(IF((F29+F23+F22)&lt;0.005,"N/A",F7/D8*100/(F29+F23+F22))," ")</f>
        <v>8.547008547008547</v>
      </c>
    </row>
    <row r="31" spans="1:6" s="45" customFormat="1" ht="44.25" customHeight="1">
      <c r="A31" s="100"/>
      <c r="B31" s="477" t="s">
        <v>134</v>
      </c>
      <c r="C31" s="477"/>
      <c r="D31" s="477"/>
      <c r="E31" s="477"/>
      <c r="F31" s="477"/>
    </row>
    <row r="32" spans="1:6" s="45" customFormat="1" ht="21" customHeight="1">
      <c r="A32" s="100"/>
      <c r="B32" s="478" t="s">
        <v>73</v>
      </c>
      <c r="C32" s="478"/>
      <c r="D32" s="478"/>
      <c r="E32" s="14"/>
      <c r="F32" s="101"/>
    </row>
    <row r="33" spans="1:6" s="45" customFormat="1" ht="22.5" customHeight="1" thickBot="1">
      <c r="A33" s="100"/>
      <c r="B33" s="487" t="str">
        <f>"Flux annuel moyen de trésorerie durant la période de l'emprunt. ("&amp;D8&amp;" m²)"</f>
        <v>Flux annuel moyen de trésorerie durant la période de l'emprunt. (500 m²)</v>
      </c>
      <c r="C33" s="487"/>
      <c r="D33" s="487"/>
      <c r="E33" s="487"/>
      <c r="F33" s="487"/>
    </row>
    <row r="34" spans="1:9" s="45" customFormat="1" ht="15.75" customHeight="1">
      <c r="A34" s="100"/>
      <c r="B34" s="488" t="str">
        <f>"Montant de l'emprunt  "&amp;H34*100&amp;" % de l'investissement"</f>
        <v>Montant de l'emprunt  75 % de l'investissement</v>
      </c>
      <c r="C34" s="489"/>
      <c r="D34" s="277">
        <f>H34*F7</f>
        <v>75</v>
      </c>
      <c r="E34" s="264" t="s">
        <v>54</v>
      </c>
      <c r="F34" s="265">
        <v>4</v>
      </c>
      <c r="H34" s="276">
        <v>0.75</v>
      </c>
      <c r="I34" s="269" t="s">
        <v>99</v>
      </c>
    </row>
    <row r="35" spans="1:9" s="45" customFormat="1" ht="15.75" customHeight="1" thickBot="1">
      <c r="A35" s="100"/>
      <c r="B35" s="490" t="str">
        <f>"Durée de l'emprunt  "&amp;H35*100&amp;" % de l'amortissement"</f>
        <v>Durée de l'emprunt  50 % de l'amortissement</v>
      </c>
      <c r="C35" s="491"/>
      <c r="D35" s="278">
        <f>F8*H35</f>
        <v>10</v>
      </c>
      <c r="E35" s="266" t="s">
        <v>55</v>
      </c>
      <c r="F35" s="271">
        <f>1!F35</f>
        <v>0.05</v>
      </c>
      <c r="H35" s="276">
        <v>0.5</v>
      </c>
      <c r="I35" s="269" t="s">
        <v>117</v>
      </c>
    </row>
    <row r="36" spans="1:6" s="85" customFormat="1" ht="15.75">
      <c r="A36" s="79"/>
      <c r="B36" s="109" t="s">
        <v>49</v>
      </c>
      <c r="C36" s="107"/>
      <c r="D36" s="108"/>
      <c r="E36" s="110" t="s">
        <v>50</v>
      </c>
      <c r="F36" s="108"/>
    </row>
    <row r="37" spans="1:6" ht="15.75">
      <c r="A37" s="79"/>
      <c r="B37" s="492" t="str">
        <f>"Économies de main d'œuvre sur "&amp;D8&amp;" m²"</f>
        <v>Économies de main d'œuvre sur 500 m²</v>
      </c>
      <c r="C37" s="493"/>
      <c r="D37" s="165">
        <f>D27*$D$8/100</f>
        <v>11.7</v>
      </c>
      <c r="E37" s="7" t="s">
        <v>69</v>
      </c>
      <c r="F37" s="112">
        <f>_xlfn.IFERROR(D34/D35," ")</f>
        <v>7.5</v>
      </c>
    </row>
    <row r="38" spans="2:9" ht="15.75">
      <c r="B38" s="176" t="s">
        <v>51</v>
      </c>
      <c r="C38" s="177"/>
      <c r="D38" s="174"/>
      <c r="E38" s="39" t="s">
        <v>44</v>
      </c>
      <c r="F38" s="112">
        <f>_xlfn.IFERROR((PMT(F35/F34,F34*D35,-D34)*F34*D35-D34)/D35," ")</f>
        <v>2.0764241725742467</v>
      </c>
      <c r="I38" s="82"/>
    </row>
    <row r="39" spans="2:6" ht="15.75">
      <c r="B39" s="185" t="s">
        <v>18</v>
      </c>
      <c r="C39" s="186"/>
      <c r="D39" s="187"/>
      <c r="E39" s="188" t="s">
        <v>46</v>
      </c>
      <c r="F39" s="187"/>
    </row>
    <row r="40" spans="2:6" ht="17.25" customHeight="1" thickBot="1">
      <c r="B40" s="89" t="s">
        <v>45</v>
      </c>
      <c r="C40" s="90"/>
      <c r="D40" s="114">
        <f>SUM(D37:D39)</f>
        <v>11.7</v>
      </c>
      <c r="E40" s="89" t="s">
        <v>12</v>
      </c>
      <c r="F40" s="114">
        <f>SUM(F37:F39)</f>
        <v>9.576424172574246</v>
      </c>
    </row>
    <row r="41" spans="2:6" ht="17.25" customHeight="1" thickBot="1">
      <c r="B41" s="494" t="s">
        <v>56</v>
      </c>
      <c r="C41" s="495"/>
      <c r="D41" s="495"/>
      <c r="E41" s="500"/>
      <c r="F41" s="158">
        <f>D40-F40</f>
        <v>2.1235758274257535</v>
      </c>
    </row>
    <row r="42" spans="2:6" ht="3.75" customHeight="1" thickBot="1">
      <c r="B42" s="55"/>
      <c r="C42" s="6"/>
      <c r="D42" s="6"/>
      <c r="E42" s="6"/>
      <c r="F42" s="98"/>
    </row>
    <row r="43" spans="2:6" ht="17.25" customHeight="1" thickBot="1">
      <c r="B43" s="494" t="s">
        <v>70</v>
      </c>
      <c r="C43" s="495"/>
      <c r="D43" s="495"/>
      <c r="E43" s="495"/>
      <c r="F43" s="158">
        <f>_xlfn.IFERROR(F41*100/D8," ")</f>
        <v>0.4247151654851507</v>
      </c>
    </row>
  </sheetData>
  <sheetProtection sheet="1"/>
  <mergeCells count="16">
    <mergeCell ref="B33:F33"/>
    <mergeCell ref="B34:C34"/>
    <mergeCell ref="B35:C35"/>
    <mergeCell ref="B37:C37"/>
    <mergeCell ref="B41:E41"/>
    <mergeCell ref="B43:E43"/>
    <mergeCell ref="B2:F2"/>
    <mergeCell ref="B4:F4"/>
    <mergeCell ref="C6:F6"/>
    <mergeCell ref="B29:E29"/>
    <mergeCell ref="B31:F31"/>
    <mergeCell ref="B32:D32"/>
    <mergeCell ref="B30:E30"/>
    <mergeCell ref="D5:F5"/>
    <mergeCell ref="B9:C9"/>
    <mergeCell ref="B28:C28"/>
  </mergeCells>
  <conditionalFormatting sqref="F51">
    <cfRule type="cellIs" priority="271" dxfId="1896" operator="lessThan" stopIfTrue="1">
      <formula>0</formula>
    </cfRule>
    <cfRule type="cellIs" priority="272" dxfId="1897" operator="greaterThan" stopIfTrue="1">
      <formula>0</formula>
    </cfRule>
  </conditionalFormatting>
  <conditionalFormatting sqref="F51">
    <cfRule type="cellIs" priority="269" dxfId="1896" operator="lessThan" stopIfTrue="1">
      <formula>0</formula>
    </cfRule>
    <cfRule type="cellIs" priority="270" dxfId="1897" operator="greaterThan" stopIfTrue="1">
      <formula>0</formula>
    </cfRule>
  </conditionalFormatting>
  <conditionalFormatting sqref="F51">
    <cfRule type="cellIs" priority="267" dxfId="1896" operator="lessThan" stopIfTrue="1">
      <formula>0</formula>
    </cfRule>
    <cfRule type="cellIs" priority="268" dxfId="1897" operator="greaterThan" stopIfTrue="1">
      <formula>0</formula>
    </cfRule>
  </conditionalFormatting>
  <conditionalFormatting sqref="F51">
    <cfRule type="cellIs" priority="265" dxfId="1896" operator="lessThan" stopIfTrue="1">
      <formula>0</formula>
    </cfRule>
    <cfRule type="cellIs" priority="266" dxfId="1897" operator="greaterThan" stopIfTrue="1">
      <formula>0</formula>
    </cfRule>
  </conditionalFormatting>
  <conditionalFormatting sqref="F51">
    <cfRule type="cellIs" priority="263" dxfId="1896" operator="lessThan" stopIfTrue="1">
      <formula>0</formula>
    </cfRule>
    <cfRule type="cellIs" priority="264" dxfId="1897" operator="greaterThan" stopIfTrue="1">
      <formula>0</formula>
    </cfRule>
  </conditionalFormatting>
  <conditionalFormatting sqref="F51">
    <cfRule type="cellIs" priority="261" dxfId="1896" operator="lessThan" stopIfTrue="1">
      <formula>0</formula>
    </cfRule>
    <cfRule type="cellIs" priority="262" dxfId="1897" operator="greaterThan" stopIfTrue="1">
      <formula>0</formula>
    </cfRule>
  </conditionalFormatting>
  <conditionalFormatting sqref="F51">
    <cfRule type="cellIs" priority="259" dxfId="1896" operator="lessThan" stopIfTrue="1">
      <formula>0</formula>
    </cfRule>
    <cfRule type="cellIs" priority="260" dxfId="1897" operator="greaterThan" stopIfTrue="1">
      <formula>0</formula>
    </cfRule>
  </conditionalFormatting>
  <conditionalFormatting sqref="F41 F43 F29:F30">
    <cfRule type="cellIs" priority="257" dxfId="1896" operator="lessThan" stopIfTrue="1">
      <formula>0</formula>
    </cfRule>
    <cfRule type="cellIs" priority="258" dxfId="1897" operator="greaterThan" stopIfTrue="1">
      <formula>0</formula>
    </cfRule>
  </conditionalFormatting>
  <conditionalFormatting sqref="F30">
    <cfRule type="cellIs" priority="255" dxfId="1896" operator="lessThan" stopIfTrue="1">
      <formula>0</formula>
    </cfRule>
    <cfRule type="cellIs" priority="256" dxfId="1897" operator="greaterThan" stopIfTrue="1">
      <formula>0</formula>
    </cfRule>
  </conditionalFormatting>
  <conditionalFormatting sqref="F30">
    <cfRule type="cellIs" priority="253" dxfId="1896" operator="lessThan" stopIfTrue="1">
      <formula>0</formula>
    </cfRule>
    <cfRule type="cellIs" priority="254" dxfId="1897" operator="greaterThan" stopIfTrue="1">
      <formula>0</formula>
    </cfRule>
  </conditionalFormatting>
  <conditionalFormatting sqref="F30">
    <cfRule type="cellIs" priority="251" dxfId="1896" operator="lessThan" stopIfTrue="1">
      <formula>0</formula>
    </cfRule>
    <cfRule type="cellIs" priority="252" dxfId="1897" operator="greaterThan" stopIfTrue="1">
      <formula>0</formula>
    </cfRule>
  </conditionalFormatting>
  <conditionalFormatting sqref="F30">
    <cfRule type="cellIs" priority="249" dxfId="1896" operator="lessThan" stopIfTrue="1">
      <formula>0</formula>
    </cfRule>
    <cfRule type="cellIs" priority="250" dxfId="1897" operator="greaterThan" stopIfTrue="1">
      <formula>0</formula>
    </cfRule>
  </conditionalFormatting>
  <conditionalFormatting sqref="F30">
    <cfRule type="cellIs" priority="247" dxfId="1896" operator="lessThan" stopIfTrue="1">
      <formula>0</formula>
    </cfRule>
    <cfRule type="cellIs" priority="248" dxfId="1897" operator="greaterThan" stopIfTrue="1">
      <formula>0</formula>
    </cfRule>
  </conditionalFormatting>
  <conditionalFormatting sqref="F30">
    <cfRule type="cellIs" priority="245" dxfId="1896" operator="lessThan" stopIfTrue="1">
      <formula>0</formula>
    </cfRule>
    <cfRule type="cellIs" priority="246" dxfId="1897" operator="greaterThan" stopIfTrue="1">
      <formula>0</formula>
    </cfRule>
  </conditionalFormatting>
  <conditionalFormatting sqref="F30">
    <cfRule type="cellIs" priority="243" dxfId="1896" operator="lessThan" stopIfTrue="1">
      <formula>0</formula>
    </cfRule>
    <cfRule type="cellIs" priority="244" dxfId="1897" operator="greaterThan" stopIfTrue="1">
      <formula>0</formula>
    </cfRule>
  </conditionalFormatting>
  <conditionalFormatting sqref="F51">
    <cfRule type="cellIs" priority="241" dxfId="1896" operator="lessThan" stopIfTrue="1">
      <formula>0</formula>
    </cfRule>
    <cfRule type="cellIs" priority="242" dxfId="1897" operator="greaterThan" stopIfTrue="1">
      <formula>0</formula>
    </cfRule>
  </conditionalFormatting>
  <conditionalFormatting sqref="F51">
    <cfRule type="cellIs" priority="239" dxfId="1896" operator="lessThan" stopIfTrue="1">
      <formula>0</formula>
    </cfRule>
    <cfRule type="cellIs" priority="240" dxfId="1897" operator="greaterThan" stopIfTrue="1">
      <formula>0</formula>
    </cfRule>
  </conditionalFormatting>
  <conditionalFormatting sqref="F51">
    <cfRule type="cellIs" priority="237" dxfId="1896" operator="lessThan" stopIfTrue="1">
      <formula>0</formula>
    </cfRule>
    <cfRule type="cellIs" priority="238" dxfId="1897" operator="greaterThan" stopIfTrue="1">
      <formula>0</formula>
    </cfRule>
  </conditionalFormatting>
  <conditionalFormatting sqref="F51">
    <cfRule type="cellIs" priority="235" dxfId="1896" operator="lessThan" stopIfTrue="1">
      <formula>0</formula>
    </cfRule>
    <cfRule type="cellIs" priority="236" dxfId="1897" operator="greaterThan" stopIfTrue="1">
      <formula>0</formula>
    </cfRule>
  </conditionalFormatting>
  <conditionalFormatting sqref="F51">
    <cfRule type="cellIs" priority="233" dxfId="1896" operator="lessThan" stopIfTrue="1">
      <formula>0</formula>
    </cfRule>
    <cfRule type="cellIs" priority="234" dxfId="1897" operator="greaterThan" stopIfTrue="1">
      <formula>0</formula>
    </cfRule>
  </conditionalFormatting>
  <conditionalFormatting sqref="F51">
    <cfRule type="cellIs" priority="231" dxfId="1896" operator="lessThan" stopIfTrue="1">
      <formula>0</formula>
    </cfRule>
    <cfRule type="cellIs" priority="232" dxfId="1897" operator="greaterThan" stopIfTrue="1">
      <formula>0</formula>
    </cfRule>
  </conditionalFormatting>
  <conditionalFormatting sqref="F51">
    <cfRule type="cellIs" priority="229" dxfId="1896" operator="lessThan" stopIfTrue="1">
      <formula>0</formula>
    </cfRule>
    <cfRule type="cellIs" priority="230" dxfId="1897" operator="greaterThan" stopIfTrue="1">
      <formula>0</formula>
    </cfRule>
  </conditionalFormatting>
  <conditionalFormatting sqref="F41 F43 F29:F30">
    <cfRule type="cellIs" priority="227" dxfId="1896" operator="lessThan" stopIfTrue="1">
      <formula>0</formula>
    </cfRule>
    <cfRule type="cellIs" priority="228" dxfId="1897" operator="greaterThan" stopIfTrue="1">
      <formula>0</formula>
    </cfRule>
  </conditionalFormatting>
  <conditionalFormatting sqref="F30">
    <cfRule type="cellIs" priority="225" dxfId="1896" operator="lessThan" stopIfTrue="1">
      <formula>0</formula>
    </cfRule>
    <cfRule type="cellIs" priority="226" dxfId="1897" operator="greaterThan" stopIfTrue="1">
      <formula>0</formula>
    </cfRule>
  </conditionalFormatting>
  <conditionalFormatting sqref="F30">
    <cfRule type="cellIs" priority="223" dxfId="1896" operator="lessThan" stopIfTrue="1">
      <formula>0</formula>
    </cfRule>
    <cfRule type="cellIs" priority="224" dxfId="1897" operator="greaterThan" stopIfTrue="1">
      <formula>0</formula>
    </cfRule>
  </conditionalFormatting>
  <conditionalFormatting sqref="F30">
    <cfRule type="cellIs" priority="221" dxfId="1896" operator="lessThan" stopIfTrue="1">
      <formula>0</formula>
    </cfRule>
    <cfRule type="cellIs" priority="222" dxfId="1897" operator="greaterThan" stopIfTrue="1">
      <formula>0</formula>
    </cfRule>
  </conditionalFormatting>
  <conditionalFormatting sqref="F30">
    <cfRule type="cellIs" priority="219" dxfId="1896" operator="lessThan" stopIfTrue="1">
      <formula>0</formula>
    </cfRule>
    <cfRule type="cellIs" priority="220" dxfId="1897" operator="greaterThan" stopIfTrue="1">
      <formula>0</formula>
    </cfRule>
  </conditionalFormatting>
  <conditionalFormatting sqref="F30">
    <cfRule type="cellIs" priority="217" dxfId="1896" operator="lessThan" stopIfTrue="1">
      <formula>0</formula>
    </cfRule>
    <cfRule type="cellIs" priority="218" dxfId="1897" operator="greaterThan" stopIfTrue="1">
      <formula>0</formula>
    </cfRule>
  </conditionalFormatting>
  <conditionalFormatting sqref="F30">
    <cfRule type="cellIs" priority="215" dxfId="1896" operator="lessThan" stopIfTrue="1">
      <formula>0</formula>
    </cfRule>
    <cfRule type="cellIs" priority="216" dxfId="1897" operator="greaterThan" stopIfTrue="1">
      <formula>0</formula>
    </cfRule>
  </conditionalFormatting>
  <conditionalFormatting sqref="F30">
    <cfRule type="cellIs" priority="213" dxfId="1896" operator="lessThan" stopIfTrue="1">
      <formula>0</formula>
    </cfRule>
    <cfRule type="cellIs" priority="214" dxfId="1897" operator="greaterThan" stopIfTrue="1">
      <formula>0</formula>
    </cfRule>
  </conditionalFormatting>
  <conditionalFormatting sqref="F30">
    <cfRule type="cellIs" priority="211" dxfId="1896" operator="lessThan" stopIfTrue="1">
      <formula>0</formula>
    </cfRule>
    <cfRule type="cellIs" priority="212" dxfId="1897" operator="greaterThan" stopIfTrue="1">
      <formula>0</formula>
    </cfRule>
  </conditionalFormatting>
  <conditionalFormatting sqref="F30">
    <cfRule type="cellIs" priority="209" dxfId="1896" operator="lessThan" stopIfTrue="1">
      <formula>0</formula>
    </cfRule>
    <cfRule type="cellIs" priority="210" dxfId="1897" operator="greaterThan" stopIfTrue="1">
      <formula>0</formula>
    </cfRule>
  </conditionalFormatting>
  <conditionalFormatting sqref="F51">
    <cfRule type="cellIs" priority="207" dxfId="1896" operator="lessThan" stopIfTrue="1">
      <formula>0</formula>
    </cfRule>
    <cfRule type="cellIs" priority="208" dxfId="1897" operator="greaterThan" stopIfTrue="1">
      <formula>0</formula>
    </cfRule>
  </conditionalFormatting>
  <conditionalFormatting sqref="F51">
    <cfRule type="cellIs" priority="205" dxfId="1896" operator="lessThan" stopIfTrue="1">
      <formula>0</formula>
    </cfRule>
    <cfRule type="cellIs" priority="206" dxfId="1897" operator="greaterThan" stopIfTrue="1">
      <formula>0</formula>
    </cfRule>
  </conditionalFormatting>
  <conditionalFormatting sqref="F51">
    <cfRule type="cellIs" priority="203" dxfId="1896" operator="lessThan" stopIfTrue="1">
      <formula>0</formula>
    </cfRule>
    <cfRule type="cellIs" priority="204" dxfId="1897" operator="greaterThan" stopIfTrue="1">
      <formula>0</formula>
    </cfRule>
  </conditionalFormatting>
  <conditionalFormatting sqref="F51">
    <cfRule type="cellIs" priority="201" dxfId="1896" operator="lessThan" stopIfTrue="1">
      <formula>0</formula>
    </cfRule>
    <cfRule type="cellIs" priority="202" dxfId="1897" operator="greaterThan" stopIfTrue="1">
      <formula>0</formula>
    </cfRule>
  </conditionalFormatting>
  <conditionalFormatting sqref="F51">
    <cfRule type="cellIs" priority="199" dxfId="1896" operator="lessThan" stopIfTrue="1">
      <formula>0</formula>
    </cfRule>
    <cfRule type="cellIs" priority="200" dxfId="1897" operator="greaterThan" stopIfTrue="1">
      <formula>0</formula>
    </cfRule>
  </conditionalFormatting>
  <conditionalFormatting sqref="F51">
    <cfRule type="cellIs" priority="197" dxfId="1896" operator="lessThan" stopIfTrue="1">
      <formula>0</formula>
    </cfRule>
    <cfRule type="cellIs" priority="198" dxfId="1897" operator="greaterThan" stopIfTrue="1">
      <formula>0</formula>
    </cfRule>
  </conditionalFormatting>
  <conditionalFormatting sqref="F51">
    <cfRule type="cellIs" priority="195" dxfId="1896" operator="lessThan" stopIfTrue="1">
      <formula>0</formula>
    </cfRule>
    <cfRule type="cellIs" priority="196" dxfId="1897" operator="greaterThan" stopIfTrue="1">
      <formula>0</formula>
    </cfRule>
  </conditionalFormatting>
  <conditionalFormatting sqref="F41 F43 F29:F30">
    <cfRule type="cellIs" priority="193" dxfId="1896" operator="lessThan" stopIfTrue="1">
      <formula>0</formula>
    </cfRule>
    <cfRule type="cellIs" priority="194" dxfId="1897" operator="greaterThan" stopIfTrue="1">
      <formula>0</formula>
    </cfRule>
  </conditionalFormatting>
  <conditionalFormatting sqref="F30">
    <cfRule type="cellIs" priority="191" dxfId="1896" operator="lessThan" stopIfTrue="1">
      <formula>0</formula>
    </cfRule>
    <cfRule type="cellIs" priority="192" dxfId="1897" operator="greaterThan" stopIfTrue="1">
      <formula>0</formula>
    </cfRule>
  </conditionalFormatting>
  <conditionalFormatting sqref="F30">
    <cfRule type="cellIs" priority="189" dxfId="1896" operator="lessThan" stopIfTrue="1">
      <formula>0</formula>
    </cfRule>
    <cfRule type="cellIs" priority="190" dxfId="1897" operator="greaterThan" stopIfTrue="1">
      <formula>0</formula>
    </cfRule>
  </conditionalFormatting>
  <conditionalFormatting sqref="F30">
    <cfRule type="cellIs" priority="187" dxfId="1896" operator="lessThan" stopIfTrue="1">
      <formula>0</formula>
    </cfRule>
    <cfRule type="cellIs" priority="188" dxfId="1897" operator="greaterThan" stopIfTrue="1">
      <formula>0</formula>
    </cfRule>
  </conditionalFormatting>
  <conditionalFormatting sqref="F30">
    <cfRule type="cellIs" priority="185" dxfId="1896" operator="lessThan" stopIfTrue="1">
      <formula>0</formula>
    </cfRule>
    <cfRule type="cellIs" priority="186" dxfId="1897" operator="greaterThan" stopIfTrue="1">
      <formula>0</formula>
    </cfRule>
  </conditionalFormatting>
  <conditionalFormatting sqref="F30">
    <cfRule type="cellIs" priority="183" dxfId="1896" operator="lessThan" stopIfTrue="1">
      <formula>0</formula>
    </cfRule>
    <cfRule type="cellIs" priority="184" dxfId="1897" operator="greaterThan" stopIfTrue="1">
      <formula>0</formula>
    </cfRule>
  </conditionalFormatting>
  <conditionalFormatting sqref="F30">
    <cfRule type="cellIs" priority="181" dxfId="1896" operator="lessThan" stopIfTrue="1">
      <formula>0</formula>
    </cfRule>
    <cfRule type="cellIs" priority="182" dxfId="1897" operator="greaterThan" stopIfTrue="1">
      <formula>0</formula>
    </cfRule>
  </conditionalFormatting>
  <conditionalFormatting sqref="F30">
    <cfRule type="cellIs" priority="179" dxfId="1896" operator="lessThan" stopIfTrue="1">
      <formula>0</formula>
    </cfRule>
    <cfRule type="cellIs" priority="180" dxfId="1897" operator="greaterThan" stopIfTrue="1">
      <formula>0</formula>
    </cfRule>
  </conditionalFormatting>
  <conditionalFormatting sqref="F30">
    <cfRule type="cellIs" priority="177" dxfId="1896" operator="lessThan" stopIfTrue="1">
      <formula>0</formula>
    </cfRule>
    <cfRule type="cellIs" priority="178" dxfId="1897" operator="greaterThan" stopIfTrue="1">
      <formula>0</formula>
    </cfRule>
  </conditionalFormatting>
  <conditionalFormatting sqref="F30">
    <cfRule type="cellIs" priority="175" dxfId="1896" operator="lessThan" stopIfTrue="1">
      <formula>0</formula>
    </cfRule>
    <cfRule type="cellIs" priority="176" dxfId="1897" operator="greaterThan" stopIfTrue="1">
      <formula>0</formula>
    </cfRule>
  </conditionalFormatting>
  <conditionalFormatting sqref="F51">
    <cfRule type="cellIs" priority="173" dxfId="1896" operator="lessThan" stopIfTrue="1">
      <formula>0</formula>
    </cfRule>
    <cfRule type="cellIs" priority="174" dxfId="1897" operator="greaterThan" stopIfTrue="1">
      <formula>0</formula>
    </cfRule>
  </conditionalFormatting>
  <conditionalFormatting sqref="F51">
    <cfRule type="cellIs" priority="171" dxfId="1896" operator="lessThan" stopIfTrue="1">
      <formula>0</formula>
    </cfRule>
    <cfRule type="cellIs" priority="172" dxfId="1897" operator="greaterThan" stopIfTrue="1">
      <formula>0</formula>
    </cfRule>
  </conditionalFormatting>
  <conditionalFormatting sqref="F51">
    <cfRule type="cellIs" priority="169" dxfId="1896" operator="lessThan" stopIfTrue="1">
      <formula>0</formula>
    </cfRule>
    <cfRule type="cellIs" priority="170" dxfId="1897" operator="greaterThan" stopIfTrue="1">
      <formula>0</formula>
    </cfRule>
  </conditionalFormatting>
  <conditionalFormatting sqref="F51">
    <cfRule type="cellIs" priority="167" dxfId="1896" operator="lessThan" stopIfTrue="1">
      <formula>0</formula>
    </cfRule>
    <cfRule type="cellIs" priority="168" dxfId="1897" operator="greaterThan" stopIfTrue="1">
      <formula>0</formula>
    </cfRule>
  </conditionalFormatting>
  <conditionalFormatting sqref="F51">
    <cfRule type="cellIs" priority="165" dxfId="1896" operator="lessThan" stopIfTrue="1">
      <formula>0</formula>
    </cfRule>
    <cfRule type="cellIs" priority="166" dxfId="1897" operator="greaterThan" stopIfTrue="1">
      <formula>0</formula>
    </cfRule>
  </conditionalFormatting>
  <conditionalFormatting sqref="F51">
    <cfRule type="cellIs" priority="163" dxfId="1896" operator="lessThan" stopIfTrue="1">
      <formula>0</formula>
    </cfRule>
    <cfRule type="cellIs" priority="164" dxfId="1897" operator="greaterThan" stopIfTrue="1">
      <formula>0</formula>
    </cfRule>
  </conditionalFormatting>
  <conditionalFormatting sqref="F51">
    <cfRule type="cellIs" priority="161" dxfId="1896" operator="lessThan" stopIfTrue="1">
      <formula>0</formula>
    </cfRule>
    <cfRule type="cellIs" priority="162" dxfId="1897" operator="greaterThan" stopIfTrue="1">
      <formula>0</formula>
    </cfRule>
  </conditionalFormatting>
  <conditionalFormatting sqref="F41 F43 F29:F30">
    <cfRule type="cellIs" priority="159" dxfId="1896" operator="lessThan" stopIfTrue="1">
      <formula>0</formula>
    </cfRule>
    <cfRule type="cellIs" priority="160" dxfId="1897" operator="greaterThan" stopIfTrue="1">
      <formula>0</formula>
    </cfRule>
  </conditionalFormatting>
  <conditionalFormatting sqref="F30">
    <cfRule type="cellIs" priority="157" dxfId="1896" operator="lessThan" stopIfTrue="1">
      <formula>0</formula>
    </cfRule>
    <cfRule type="cellIs" priority="158" dxfId="1897" operator="greaterThan" stopIfTrue="1">
      <formula>0</formula>
    </cfRule>
  </conditionalFormatting>
  <conditionalFormatting sqref="F30">
    <cfRule type="cellIs" priority="155" dxfId="1896" operator="lessThan" stopIfTrue="1">
      <formula>0</formula>
    </cfRule>
    <cfRule type="cellIs" priority="156" dxfId="1897" operator="greaterThan" stopIfTrue="1">
      <formula>0</formula>
    </cfRule>
  </conditionalFormatting>
  <conditionalFormatting sqref="F30">
    <cfRule type="cellIs" priority="153" dxfId="1896" operator="lessThan" stopIfTrue="1">
      <formula>0</formula>
    </cfRule>
    <cfRule type="cellIs" priority="154" dxfId="1897" operator="greaterThan" stopIfTrue="1">
      <formula>0</formula>
    </cfRule>
  </conditionalFormatting>
  <conditionalFormatting sqref="F30">
    <cfRule type="cellIs" priority="151" dxfId="1896" operator="lessThan" stopIfTrue="1">
      <formula>0</formula>
    </cfRule>
    <cfRule type="cellIs" priority="152" dxfId="1897" operator="greaterThan" stopIfTrue="1">
      <formula>0</formula>
    </cfRule>
  </conditionalFormatting>
  <conditionalFormatting sqref="F30">
    <cfRule type="cellIs" priority="149" dxfId="1896" operator="lessThan" stopIfTrue="1">
      <formula>0</formula>
    </cfRule>
    <cfRule type="cellIs" priority="150" dxfId="1897" operator="greaterThan" stopIfTrue="1">
      <formula>0</formula>
    </cfRule>
  </conditionalFormatting>
  <conditionalFormatting sqref="F30">
    <cfRule type="cellIs" priority="147" dxfId="1896" operator="lessThan" stopIfTrue="1">
      <formula>0</formula>
    </cfRule>
    <cfRule type="cellIs" priority="148" dxfId="1897" operator="greaterThan" stopIfTrue="1">
      <formula>0</formula>
    </cfRule>
  </conditionalFormatting>
  <conditionalFormatting sqref="F30">
    <cfRule type="cellIs" priority="145" dxfId="1896" operator="lessThan" stopIfTrue="1">
      <formula>0</formula>
    </cfRule>
    <cfRule type="cellIs" priority="146" dxfId="1897" operator="greaterThan" stopIfTrue="1">
      <formula>0</formula>
    </cfRule>
  </conditionalFormatting>
  <conditionalFormatting sqref="F30">
    <cfRule type="cellIs" priority="143" dxfId="1896" operator="lessThan" stopIfTrue="1">
      <formula>0</formula>
    </cfRule>
    <cfRule type="cellIs" priority="144" dxfId="1897" operator="greaterThan" stopIfTrue="1">
      <formula>0</formula>
    </cfRule>
  </conditionalFormatting>
  <conditionalFormatting sqref="F30">
    <cfRule type="cellIs" priority="141" dxfId="1896" operator="lessThan" stopIfTrue="1">
      <formula>0</formula>
    </cfRule>
    <cfRule type="cellIs" priority="142" dxfId="1897" operator="greaterThan" stopIfTrue="1">
      <formula>0</formula>
    </cfRule>
  </conditionalFormatting>
  <conditionalFormatting sqref="F51">
    <cfRule type="cellIs" priority="139" dxfId="1896" operator="lessThan" stopIfTrue="1">
      <formula>0</formula>
    </cfRule>
    <cfRule type="cellIs" priority="140" dxfId="1897" operator="greaterThan" stopIfTrue="1">
      <formula>0</formula>
    </cfRule>
  </conditionalFormatting>
  <conditionalFormatting sqref="F51">
    <cfRule type="cellIs" priority="137" dxfId="1896" operator="lessThan" stopIfTrue="1">
      <formula>0</formula>
    </cfRule>
    <cfRule type="cellIs" priority="138" dxfId="1897" operator="greaterThan" stopIfTrue="1">
      <formula>0</formula>
    </cfRule>
  </conditionalFormatting>
  <conditionalFormatting sqref="F51">
    <cfRule type="cellIs" priority="135" dxfId="1896" operator="lessThan" stopIfTrue="1">
      <formula>0</formula>
    </cfRule>
    <cfRule type="cellIs" priority="136" dxfId="1897" operator="greaterThan" stopIfTrue="1">
      <formula>0</formula>
    </cfRule>
  </conditionalFormatting>
  <conditionalFormatting sqref="F51">
    <cfRule type="cellIs" priority="133" dxfId="1896" operator="lessThan" stopIfTrue="1">
      <formula>0</formula>
    </cfRule>
    <cfRule type="cellIs" priority="134" dxfId="1897" operator="greaterThan" stopIfTrue="1">
      <formula>0</formula>
    </cfRule>
  </conditionalFormatting>
  <conditionalFormatting sqref="F51">
    <cfRule type="cellIs" priority="131" dxfId="1896" operator="lessThan" stopIfTrue="1">
      <formula>0</formula>
    </cfRule>
    <cfRule type="cellIs" priority="132" dxfId="1897" operator="greaterThan" stopIfTrue="1">
      <formula>0</formula>
    </cfRule>
  </conditionalFormatting>
  <conditionalFormatting sqref="F51">
    <cfRule type="cellIs" priority="129" dxfId="1896" operator="lessThan" stopIfTrue="1">
      <formula>0</formula>
    </cfRule>
    <cfRule type="cellIs" priority="130" dxfId="1897" operator="greaterThan" stopIfTrue="1">
      <formula>0</formula>
    </cfRule>
  </conditionalFormatting>
  <conditionalFormatting sqref="F41 F43 F29:F30">
    <cfRule type="cellIs" priority="127" dxfId="1896" operator="lessThan" stopIfTrue="1">
      <formula>0</formula>
    </cfRule>
    <cfRule type="cellIs" priority="128" dxfId="1897" operator="greaterThan" stopIfTrue="1">
      <formula>0</formula>
    </cfRule>
  </conditionalFormatting>
  <conditionalFormatting sqref="F30">
    <cfRule type="cellIs" priority="125" dxfId="1896" operator="lessThan" stopIfTrue="1">
      <formula>0</formula>
    </cfRule>
    <cfRule type="cellIs" priority="126" dxfId="1897" operator="greaterThan" stopIfTrue="1">
      <formula>0</formula>
    </cfRule>
  </conditionalFormatting>
  <conditionalFormatting sqref="F30">
    <cfRule type="cellIs" priority="123" dxfId="1896" operator="lessThan" stopIfTrue="1">
      <formula>0</formula>
    </cfRule>
    <cfRule type="cellIs" priority="124" dxfId="1897" operator="greaterThan" stopIfTrue="1">
      <formula>0</formula>
    </cfRule>
  </conditionalFormatting>
  <conditionalFormatting sqref="F30">
    <cfRule type="cellIs" priority="121" dxfId="1896" operator="lessThan" stopIfTrue="1">
      <formula>0</formula>
    </cfRule>
    <cfRule type="cellIs" priority="122" dxfId="1897" operator="greaterThan" stopIfTrue="1">
      <formula>0</formula>
    </cfRule>
  </conditionalFormatting>
  <conditionalFormatting sqref="F30">
    <cfRule type="cellIs" priority="119" dxfId="1896" operator="lessThan" stopIfTrue="1">
      <formula>0</formula>
    </cfRule>
    <cfRule type="cellIs" priority="120" dxfId="1897" operator="greaterThan" stopIfTrue="1">
      <formula>0</formula>
    </cfRule>
  </conditionalFormatting>
  <conditionalFormatting sqref="F30">
    <cfRule type="cellIs" priority="117" dxfId="1896" operator="lessThan" stopIfTrue="1">
      <formula>0</formula>
    </cfRule>
    <cfRule type="cellIs" priority="118" dxfId="1897" operator="greaterThan" stopIfTrue="1">
      <formula>0</formula>
    </cfRule>
  </conditionalFormatting>
  <conditionalFormatting sqref="F30">
    <cfRule type="cellIs" priority="115" dxfId="1896" operator="lessThan" stopIfTrue="1">
      <formula>0</formula>
    </cfRule>
    <cfRule type="cellIs" priority="116" dxfId="1897" operator="greaterThan" stopIfTrue="1">
      <formula>0</formula>
    </cfRule>
  </conditionalFormatting>
  <conditionalFormatting sqref="F30">
    <cfRule type="cellIs" priority="113" dxfId="1896" operator="lessThan" stopIfTrue="1">
      <formula>0</formula>
    </cfRule>
    <cfRule type="cellIs" priority="114" dxfId="1897" operator="greaterThan" stopIfTrue="1">
      <formula>0</formula>
    </cfRule>
  </conditionalFormatting>
  <conditionalFormatting sqref="F30">
    <cfRule type="cellIs" priority="111" dxfId="1896" operator="lessThan" stopIfTrue="1">
      <formula>0</formula>
    </cfRule>
    <cfRule type="cellIs" priority="112" dxfId="1897" operator="greaterThan" stopIfTrue="1">
      <formula>0</formula>
    </cfRule>
  </conditionalFormatting>
  <conditionalFormatting sqref="F30">
    <cfRule type="cellIs" priority="109" dxfId="1896" operator="lessThan" stopIfTrue="1">
      <formula>0</formula>
    </cfRule>
    <cfRule type="cellIs" priority="110" dxfId="1897" operator="greaterThan" stopIfTrue="1">
      <formula>0</formula>
    </cfRule>
  </conditionalFormatting>
  <conditionalFormatting sqref="F51">
    <cfRule type="cellIs" priority="107" dxfId="1896" operator="lessThan" stopIfTrue="1">
      <formula>0</formula>
    </cfRule>
    <cfRule type="cellIs" priority="108" dxfId="1897" operator="greaterThan" stopIfTrue="1">
      <formula>0</formula>
    </cfRule>
  </conditionalFormatting>
  <conditionalFormatting sqref="F51">
    <cfRule type="cellIs" priority="105" dxfId="1896" operator="lessThan" stopIfTrue="1">
      <formula>0</formula>
    </cfRule>
    <cfRule type="cellIs" priority="106" dxfId="1897" operator="greaterThan" stopIfTrue="1">
      <formula>0</formula>
    </cfRule>
  </conditionalFormatting>
  <conditionalFormatting sqref="F51">
    <cfRule type="cellIs" priority="103" dxfId="1896" operator="lessThan" stopIfTrue="1">
      <formula>0</formula>
    </cfRule>
    <cfRule type="cellIs" priority="104" dxfId="1897" operator="greaterThan" stopIfTrue="1">
      <formula>0</formula>
    </cfRule>
  </conditionalFormatting>
  <conditionalFormatting sqref="F51">
    <cfRule type="cellIs" priority="101" dxfId="1896" operator="lessThan" stopIfTrue="1">
      <formula>0</formula>
    </cfRule>
    <cfRule type="cellIs" priority="102" dxfId="1897" operator="greaterThan" stopIfTrue="1">
      <formula>0</formula>
    </cfRule>
  </conditionalFormatting>
  <conditionalFormatting sqref="F51">
    <cfRule type="cellIs" priority="99" dxfId="1896" operator="lessThan" stopIfTrue="1">
      <formula>0</formula>
    </cfRule>
    <cfRule type="cellIs" priority="100" dxfId="1897" operator="greaterThan" stopIfTrue="1">
      <formula>0</formula>
    </cfRule>
  </conditionalFormatting>
  <conditionalFormatting sqref="F41 F43 F29:F30">
    <cfRule type="cellIs" priority="97" dxfId="1896" operator="lessThan" stopIfTrue="1">
      <formula>0</formula>
    </cfRule>
    <cfRule type="cellIs" priority="98" dxfId="1897" operator="greaterThan" stopIfTrue="1">
      <formula>0</formula>
    </cfRule>
  </conditionalFormatting>
  <conditionalFormatting sqref="F30">
    <cfRule type="cellIs" priority="95" dxfId="1896" operator="lessThan" stopIfTrue="1">
      <formula>0</formula>
    </cfRule>
    <cfRule type="cellIs" priority="96" dxfId="1897" operator="greaterThan" stopIfTrue="1">
      <formula>0</formula>
    </cfRule>
  </conditionalFormatting>
  <conditionalFormatting sqref="F30">
    <cfRule type="cellIs" priority="93" dxfId="1896" operator="lessThan" stopIfTrue="1">
      <formula>0</formula>
    </cfRule>
    <cfRule type="cellIs" priority="94" dxfId="1897" operator="greaterThan" stopIfTrue="1">
      <formula>0</formula>
    </cfRule>
  </conditionalFormatting>
  <conditionalFormatting sqref="F30">
    <cfRule type="cellIs" priority="91" dxfId="1896" operator="lessThan" stopIfTrue="1">
      <formula>0</formula>
    </cfRule>
    <cfRule type="cellIs" priority="92" dxfId="1897" operator="greaterThan" stopIfTrue="1">
      <formula>0</formula>
    </cfRule>
  </conditionalFormatting>
  <conditionalFormatting sqref="F30">
    <cfRule type="cellIs" priority="89" dxfId="1896" operator="lessThan" stopIfTrue="1">
      <formula>0</formula>
    </cfRule>
    <cfRule type="cellIs" priority="90" dxfId="1897" operator="greaterThan" stopIfTrue="1">
      <formula>0</formula>
    </cfRule>
  </conditionalFormatting>
  <conditionalFormatting sqref="F30">
    <cfRule type="cellIs" priority="87" dxfId="1896" operator="lessThan" stopIfTrue="1">
      <formula>0</formula>
    </cfRule>
    <cfRule type="cellIs" priority="88" dxfId="1897" operator="greaterThan" stopIfTrue="1">
      <formula>0</formula>
    </cfRule>
  </conditionalFormatting>
  <conditionalFormatting sqref="F30">
    <cfRule type="cellIs" priority="85" dxfId="1896" operator="lessThan" stopIfTrue="1">
      <formula>0</formula>
    </cfRule>
    <cfRule type="cellIs" priority="86" dxfId="1897" operator="greaterThan" stopIfTrue="1">
      <formula>0</formula>
    </cfRule>
  </conditionalFormatting>
  <conditionalFormatting sqref="F30">
    <cfRule type="cellIs" priority="83" dxfId="1896" operator="lessThan" stopIfTrue="1">
      <formula>0</formula>
    </cfRule>
    <cfRule type="cellIs" priority="84" dxfId="1897" operator="greaterThan" stopIfTrue="1">
      <formula>0</formula>
    </cfRule>
  </conditionalFormatting>
  <conditionalFormatting sqref="F30">
    <cfRule type="cellIs" priority="81" dxfId="1896" operator="lessThan" stopIfTrue="1">
      <formula>0</formula>
    </cfRule>
    <cfRule type="cellIs" priority="82" dxfId="1897" operator="greaterThan" stopIfTrue="1">
      <formula>0</formula>
    </cfRule>
  </conditionalFormatting>
  <conditionalFormatting sqref="F30">
    <cfRule type="cellIs" priority="79" dxfId="1896" operator="lessThan" stopIfTrue="1">
      <formula>0</formula>
    </cfRule>
    <cfRule type="cellIs" priority="80" dxfId="1897" operator="greaterThan" stopIfTrue="1">
      <formula>0</formula>
    </cfRule>
  </conditionalFormatting>
  <conditionalFormatting sqref="F51">
    <cfRule type="cellIs" priority="77" dxfId="1896" operator="lessThan" stopIfTrue="1">
      <formula>0</formula>
    </cfRule>
    <cfRule type="cellIs" priority="78" dxfId="1897" operator="greaterThan" stopIfTrue="1">
      <formula>0</formula>
    </cfRule>
  </conditionalFormatting>
  <conditionalFormatting sqref="F51">
    <cfRule type="cellIs" priority="75" dxfId="1896" operator="lessThan" stopIfTrue="1">
      <formula>0</formula>
    </cfRule>
    <cfRule type="cellIs" priority="76" dxfId="1897" operator="greaterThan" stopIfTrue="1">
      <formula>0</formula>
    </cfRule>
  </conditionalFormatting>
  <conditionalFormatting sqref="F51">
    <cfRule type="cellIs" priority="73" dxfId="1896" operator="lessThan" stopIfTrue="1">
      <formula>0</formula>
    </cfRule>
    <cfRule type="cellIs" priority="74" dxfId="1897" operator="greaterThan" stopIfTrue="1">
      <formula>0</formula>
    </cfRule>
  </conditionalFormatting>
  <conditionalFormatting sqref="F51">
    <cfRule type="cellIs" priority="71" dxfId="1896" operator="lessThan" stopIfTrue="1">
      <formula>0</formula>
    </cfRule>
    <cfRule type="cellIs" priority="72" dxfId="1897" operator="greaterThan" stopIfTrue="1">
      <formula>0</formula>
    </cfRule>
  </conditionalFormatting>
  <conditionalFormatting sqref="F41 F43 F29:F30">
    <cfRule type="cellIs" priority="69" dxfId="1896" operator="lessThan" stopIfTrue="1">
      <formula>0</formula>
    </cfRule>
    <cfRule type="cellIs" priority="70" dxfId="1897" operator="greaterThan" stopIfTrue="1">
      <formula>0</formula>
    </cfRule>
  </conditionalFormatting>
  <conditionalFormatting sqref="F30">
    <cfRule type="cellIs" priority="67" dxfId="1896" operator="lessThan" stopIfTrue="1">
      <formula>0</formula>
    </cfRule>
    <cfRule type="cellIs" priority="68" dxfId="1897" operator="greaterThan" stopIfTrue="1">
      <formula>0</formula>
    </cfRule>
  </conditionalFormatting>
  <conditionalFormatting sqref="F30">
    <cfRule type="cellIs" priority="65" dxfId="1896" operator="lessThan" stopIfTrue="1">
      <formula>0</formula>
    </cfRule>
    <cfRule type="cellIs" priority="66" dxfId="1897" operator="greaterThan" stopIfTrue="1">
      <formula>0</formula>
    </cfRule>
  </conditionalFormatting>
  <conditionalFormatting sqref="F30">
    <cfRule type="cellIs" priority="63" dxfId="1896" operator="lessThan" stopIfTrue="1">
      <formula>0</formula>
    </cfRule>
    <cfRule type="cellIs" priority="64" dxfId="1897" operator="greaterThan" stopIfTrue="1">
      <formula>0</formula>
    </cfRule>
  </conditionalFormatting>
  <conditionalFormatting sqref="F30">
    <cfRule type="cellIs" priority="61" dxfId="1896" operator="lessThan" stopIfTrue="1">
      <formula>0</formula>
    </cfRule>
    <cfRule type="cellIs" priority="62" dxfId="1897" operator="greaterThan" stopIfTrue="1">
      <formula>0</formula>
    </cfRule>
  </conditionalFormatting>
  <conditionalFormatting sqref="F30">
    <cfRule type="cellIs" priority="59" dxfId="1896" operator="lessThan" stopIfTrue="1">
      <formula>0</formula>
    </cfRule>
    <cfRule type="cellIs" priority="60" dxfId="1897" operator="greaterThan" stopIfTrue="1">
      <formula>0</formula>
    </cfRule>
  </conditionalFormatting>
  <conditionalFormatting sqref="F30">
    <cfRule type="cellIs" priority="57" dxfId="1896" operator="lessThan" stopIfTrue="1">
      <formula>0</formula>
    </cfRule>
    <cfRule type="cellIs" priority="58" dxfId="1897" operator="greaterThan" stopIfTrue="1">
      <formula>0</formula>
    </cfRule>
  </conditionalFormatting>
  <conditionalFormatting sqref="F30">
    <cfRule type="cellIs" priority="55" dxfId="1896" operator="lessThan" stopIfTrue="1">
      <formula>0</formula>
    </cfRule>
    <cfRule type="cellIs" priority="56" dxfId="1897" operator="greaterThan" stopIfTrue="1">
      <formula>0</formula>
    </cfRule>
  </conditionalFormatting>
  <conditionalFormatting sqref="F30">
    <cfRule type="cellIs" priority="53" dxfId="1896" operator="lessThan" stopIfTrue="1">
      <formula>0</formula>
    </cfRule>
    <cfRule type="cellIs" priority="54" dxfId="1897" operator="greaterThan" stopIfTrue="1">
      <formula>0</formula>
    </cfRule>
  </conditionalFormatting>
  <conditionalFormatting sqref="F30">
    <cfRule type="cellIs" priority="51" dxfId="1896" operator="lessThan" stopIfTrue="1">
      <formula>0</formula>
    </cfRule>
    <cfRule type="cellIs" priority="52" dxfId="1897" operator="greaterThan" stopIfTrue="1">
      <formula>0</formula>
    </cfRule>
  </conditionalFormatting>
  <conditionalFormatting sqref="F51">
    <cfRule type="cellIs" priority="49" dxfId="1896" operator="lessThan" stopIfTrue="1">
      <formula>0</formula>
    </cfRule>
    <cfRule type="cellIs" priority="50" dxfId="1897" operator="greaterThan" stopIfTrue="1">
      <formula>0</formula>
    </cfRule>
  </conditionalFormatting>
  <conditionalFormatting sqref="F51">
    <cfRule type="cellIs" priority="47" dxfId="1896" operator="lessThan" stopIfTrue="1">
      <formula>0</formula>
    </cfRule>
    <cfRule type="cellIs" priority="48" dxfId="1897" operator="greaterThan" stopIfTrue="1">
      <formula>0</formula>
    </cfRule>
  </conditionalFormatting>
  <conditionalFormatting sqref="F51">
    <cfRule type="cellIs" priority="45" dxfId="1896" operator="lessThan" stopIfTrue="1">
      <formula>0</formula>
    </cfRule>
    <cfRule type="cellIs" priority="46" dxfId="1897" operator="greaterThan" stopIfTrue="1">
      <formula>0</formula>
    </cfRule>
  </conditionalFormatting>
  <conditionalFormatting sqref="F41 F43 F29:F30">
    <cfRule type="cellIs" priority="43" dxfId="1896" operator="lessThan" stopIfTrue="1">
      <formula>0</formula>
    </cfRule>
    <cfRule type="cellIs" priority="44" dxfId="1897" operator="greaterThan" stopIfTrue="1">
      <formula>0</formula>
    </cfRule>
  </conditionalFormatting>
  <conditionalFormatting sqref="F30">
    <cfRule type="cellIs" priority="41" dxfId="1896" operator="lessThan" stopIfTrue="1">
      <formula>0</formula>
    </cfRule>
    <cfRule type="cellIs" priority="42" dxfId="1897" operator="greaterThan" stopIfTrue="1">
      <formula>0</formula>
    </cfRule>
  </conditionalFormatting>
  <conditionalFormatting sqref="F30">
    <cfRule type="cellIs" priority="39" dxfId="1896" operator="lessThan" stopIfTrue="1">
      <formula>0</formula>
    </cfRule>
    <cfRule type="cellIs" priority="40" dxfId="1897" operator="greaterThan" stopIfTrue="1">
      <formula>0</formula>
    </cfRule>
  </conditionalFormatting>
  <conditionalFormatting sqref="F30">
    <cfRule type="cellIs" priority="37" dxfId="1896" operator="lessThan" stopIfTrue="1">
      <formula>0</formula>
    </cfRule>
    <cfRule type="cellIs" priority="38" dxfId="1897" operator="greaterThan" stopIfTrue="1">
      <formula>0</formula>
    </cfRule>
  </conditionalFormatting>
  <conditionalFormatting sqref="F30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30">
    <cfRule type="cellIs" priority="33" dxfId="1896" operator="lessThan" stopIfTrue="1">
      <formula>0</formula>
    </cfRule>
    <cfRule type="cellIs" priority="34" dxfId="1897" operator="greaterThan" stopIfTrue="1">
      <formula>0</formula>
    </cfRule>
  </conditionalFormatting>
  <conditionalFormatting sqref="F30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0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0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0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51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51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41 F43 F29:F30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0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0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0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0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3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0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0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0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0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2" r:id="rId1"/>
  <ignoredErrors>
    <ignoredError sqref="D21" formula="1"/>
    <ignoredError sqref="D22:D24" formula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K52"/>
  <sheetViews>
    <sheetView showZero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B2" sqref="B2:F2"/>
    </sheetView>
  </sheetViews>
  <sheetFormatPr defaultColWidth="11.421875" defaultRowHeight="15"/>
  <cols>
    <col min="1" max="1" width="2.7109375" style="0" customWidth="1"/>
    <col min="2" max="2" width="42.140625" style="0" customWidth="1"/>
    <col min="3" max="3" width="10.8515625" style="0" customWidth="1"/>
    <col min="4" max="4" width="14.7109375" style="0" customWidth="1"/>
    <col min="5" max="5" width="39.8515625" style="0" customWidth="1"/>
    <col min="6" max="6" width="14.8515625" style="0" customWidth="1"/>
    <col min="7" max="7" width="3.28125" style="0" customWidth="1"/>
    <col min="8" max="8" width="8.57421875" style="0" customWidth="1"/>
  </cols>
  <sheetData>
    <row r="1" ht="8.25" customHeight="1" thickBot="1"/>
    <row r="2" spans="2:6" ht="26.25">
      <c r="B2" s="467" t="s">
        <v>71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11" ht="20.25">
      <c r="B4" s="470" t="str">
        <f>CONCATENATE(1!I4," "&amp;J4)</f>
        <v>Tomates beefsteak (classement et emballage)</v>
      </c>
      <c r="C4" s="471"/>
      <c r="D4" s="471"/>
      <c r="E4" s="471"/>
      <c r="F4" s="472"/>
      <c r="J4" s="511" t="s">
        <v>103</v>
      </c>
      <c r="K4" s="511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129</v>
      </c>
      <c r="D6" s="473"/>
      <c r="E6" s="473"/>
      <c r="F6" s="499"/>
    </row>
    <row r="7" spans="2:6" ht="15.75" thickBot="1">
      <c r="B7" s="47"/>
      <c r="C7" s="1"/>
      <c r="D7" s="23"/>
      <c r="E7" s="1"/>
      <c r="F7" s="48"/>
    </row>
    <row r="8" spans="2:6" ht="15">
      <c r="B8" s="509" t="s">
        <v>131</v>
      </c>
      <c r="C8" s="510"/>
      <c r="D8" s="356">
        <v>0.7</v>
      </c>
      <c r="E8" s="338" t="s">
        <v>77</v>
      </c>
      <c r="F8" s="190">
        <f>D10*D11/1000</f>
        <v>22.5</v>
      </c>
    </row>
    <row r="9" spans="2:6" ht="15">
      <c r="B9" s="86" t="s">
        <v>150</v>
      </c>
      <c r="C9" s="160"/>
      <c r="D9" s="340">
        <v>13</v>
      </c>
      <c r="E9" s="339" t="s">
        <v>53</v>
      </c>
      <c r="F9" s="168">
        <v>500</v>
      </c>
    </row>
    <row r="10" spans="2:6" ht="15">
      <c r="B10" s="86" t="s">
        <v>39</v>
      </c>
      <c r="C10" s="159"/>
      <c r="D10" s="341">
        <f>1!D8</f>
        <v>500</v>
      </c>
      <c r="E10" s="83" t="s">
        <v>34</v>
      </c>
      <c r="F10" s="169">
        <v>10</v>
      </c>
    </row>
    <row r="11" spans="2:6" ht="15.75" customHeight="1" thickBot="1">
      <c r="B11" s="501" t="s">
        <v>156</v>
      </c>
      <c r="C11" s="502"/>
      <c r="D11" s="167">
        <v>45</v>
      </c>
      <c r="E11" s="161" t="s">
        <v>42</v>
      </c>
      <c r="F11" s="263">
        <f>1!F9</f>
        <v>0.05</v>
      </c>
    </row>
    <row r="12" spans="2:6" ht="16.5" customHeight="1">
      <c r="B12" s="51" t="s">
        <v>9</v>
      </c>
      <c r="C12" s="73"/>
      <c r="D12" s="17" t="s">
        <v>7</v>
      </c>
      <c r="E12" s="87" t="s">
        <v>22</v>
      </c>
      <c r="F12" s="88" t="s">
        <v>8</v>
      </c>
    </row>
    <row r="13" spans="2:6" s="324" customFormat="1" ht="15.75">
      <c r="B13" s="183"/>
      <c r="C13" s="177"/>
      <c r="D13" s="178"/>
      <c r="E13" s="322"/>
      <c r="F13" s="178"/>
    </row>
    <row r="14" spans="2:6" s="324" customFormat="1" ht="15.75">
      <c r="B14" s="325"/>
      <c r="C14" s="177"/>
      <c r="D14" s="180"/>
      <c r="E14" s="323"/>
      <c r="F14" s="180"/>
    </row>
    <row r="15" spans="2:6" ht="16.5" thickBot="1">
      <c r="B15" s="89" t="s">
        <v>1</v>
      </c>
      <c r="C15" s="90"/>
      <c r="D15" s="114">
        <f>SUM(D13:D14)</f>
        <v>0</v>
      </c>
      <c r="E15" s="91" t="s">
        <v>2</v>
      </c>
      <c r="F15" s="114">
        <f>SUM(F13:F14)</f>
        <v>0</v>
      </c>
    </row>
    <row r="16" spans="2:6" ht="3.75" customHeight="1" thickBot="1">
      <c r="B16" s="57"/>
      <c r="C16" s="9"/>
      <c r="D16" s="8"/>
      <c r="E16" s="9"/>
      <c r="F16" s="10"/>
    </row>
    <row r="17" spans="2:6" ht="16.5" hidden="1" thickBot="1">
      <c r="B17" s="53" t="s">
        <v>18</v>
      </c>
      <c r="C17" s="75"/>
      <c r="D17" s="2"/>
      <c r="E17" s="5"/>
      <c r="F17" s="4"/>
    </row>
    <row r="18" spans="2:6" ht="15.75" hidden="1" thickBot="1">
      <c r="B18" s="54"/>
      <c r="C18" s="5"/>
      <c r="D18" s="2"/>
      <c r="E18" s="5"/>
      <c r="F18" s="4"/>
    </row>
    <row r="19" spans="2:6" ht="15.75" hidden="1" thickBot="1">
      <c r="B19" s="54"/>
      <c r="C19" s="5"/>
      <c r="D19" s="2"/>
      <c r="E19" s="5"/>
      <c r="F19" s="4"/>
    </row>
    <row r="20" spans="2:6" ht="15.75" hidden="1" thickBot="1">
      <c r="B20" s="54"/>
      <c r="C20" s="5"/>
      <c r="D20" s="2"/>
      <c r="E20" s="5"/>
      <c r="F20" s="4"/>
    </row>
    <row r="21" spans="2:6" ht="15.75" hidden="1" thickBot="1">
      <c r="B21" s="55"/>
      <c r="C21" s="6"/>
      <c r="D21" s="2"/>
      <c r="E21" s="6"/>
      <c r="F21" s="4"/>
    </row>
    <row r="22" spans="2:5" ht="16.5" hidden="1" thickBot="1">
      <c r="B22" s="56"/>
      <c r="C22" s="38"/>
      <c r="E22" s="38"/>
    </row>
    <row r="23" spans="2:6" ht="15.75" hidden="1" thickBot="1">
      <c r="B23" s="57"/>
      <c r="C23" s="9"/>
      <c r="D23" s="8"/>
      <c r="E23" s="9"/>
      <c r="F23" s="10"/>
    </row>
    <row r="24" spans="2:6" ht="15.75">
      <c r="B24" s="58" t="s">
        <v>3</v>
      </c>
      <c r="C24" s="76"/>
      <c r="D24" s="15"/>
      <c r="E24" s="162" t="s">
        <v>23</v>
      </c>
      <c r="F24" s="16"/>
    </row>
    <row r="25" spans="2:6" ht="15">
      <c r="B25" s="54"/>
      <c r="C25" s="327" t="s">
        <v>135</v>
      </c>
      <c r="D25" s="326" t="s">
        <v>133</v>
      </c>
      <c r="E25" s="20" t="s">
        <v>18</v>
      </c>
      <c r="F25" s="326" t="s">
        <v>38</v>
      </c>
    </row>
    <row r="26" spans="2:6" ht="15">
      <c r="B26" s="72" t="s">
        <v>24</v>
      </c>
      <c r="C26" s="77"/>
      <c r="D26" s="27"/>
      <c r="E26" s="170" t="s">
        <v>18</v>
      </c>
      <c r="F26" s="172"/>
    </row>
    <row r="27" spans="2:6" ht="15">
      <c r="B27" s="183" t="s">
        <v>93</v>
      </c>
      <c r="C27" s="304">
        <v>0.76</v>
      </c>
      <c r="D27" s="307">
        <f aca="true" t="shared" si="0" ref="D27:D32">C27*$D$9</f>
        <v>9.88</v>
      </c>
      <c r="E27" s="451" t="s">
        <v>94</v>
      </c>
      <c r="F27" s="184"/>
    </row>
    <row r="28" spans="2:6" ht="15">
      <c r="B28" s="183"/>
      <c r="C28" s="304"/>
      <c r="D28" s="307">
        <f t="shared" si="0"/>
        <v>0</v>
      </c>
      <c r="E28" s="171" t="s">
        <v>28</v>
      </c>
      <c r="F28" s="307">
        <f>_xlfn.IFERROR(F9/F10*100/D10,0)</f>
        <v>10</v>
      </c>
    </row>
    <row r="29" spans="2:6" ht="15">
      <c r="B29" s="182"/>
      <c r="C29" s="304"/>
      <c r="D29" s="307">
        <f t="shared" si="0"/>
        <v>0</v>
      </c>
      <c r="E29" s="171" t="s">
        <v>52</v>
      </c>
      <c r="F29" s="307">
        <f>_xlfn.IFERROR((((-(PMT($F$11/1,$F$10*1,$F$9)))*$F$10*1-$F$9))/$F$10*100/$D$10,0)</f>
        <v>2.9504574965456665</v>
      </c>
    </row>
    <row r="30" spans="2:6" ht="15" hidden="1">
      <c r="B30" s="54"/>
      <c r="C30" s="318"/>
      <c r="D30" s="115">
        <f t="shared" si="0"/>
        <v>0</v>
      </c>
      <c r="E30" s="163" t="s">
        <v>18</v>
      </c>
      <c r="F30" s="99"/>
    </row>
    <row r="31" spans="2:6" ht="15" hidden="1">
      <c r="B31" s="54"/>
      <c r="C31" s="319"/>
      <c r="D31" s="307">
        <f t="shared" si="0"/>
        <v>0</v>
      </c>
      <c r="E31" s="163"/>
      <c r="F31" s="99"/>
    </row>
    <row r="32" spans="2:6" ht="15" hidden="1">
      <c r="B32" s="54"/>
      <c r="C32" s="319"/>
      <c r="D32" s="307">
        <f t="shared" si="0"/>
        <v>0</v>
      </c>
      <c r="E32" s="163" t="s">
        <v>18</v>
      </c>
      <c r="F32" s="99"/>
    </row>
    <row r="33" spans="1:6" ht="16.5" thickBot="1">
      <c r="A33" s="79"/>
      <c r="B33" s="89" t="s">
        <v>5</v>
      </c>
      <c r="C33" s="320">
        <f>SUM(C27:C32)</f>
        <v>0.76</v>
      </c>
      <c r="D33" s="116">
        <f>SUM(D25:D32)</f>
        <v>9.88</v>
      </c>
      <c r="E33" s="164" t="s">
        <v>6</v>
      </c>
      <c r="F33" s="116">
        <f>SUM(F25:F32)</f>
        <v>12.950457496545667</v>
      </c>
    </row>
    <row r="34" spans="2:6" ht="6" customHeight="1">
      <c r="B34" s="55"/>
      <c r="C34" s="321"/>
      <c r="D34" s="27"/>
      <c r="E34" s="14"/>
      <c r="F34" s="30"/>
    </row>
    <row r="35" spans="1:6" ht="16.5" customHeight="1" thickBot="1">
      <c r="A35" s="79"/>
      <c r="B35" s="93" t="s">
        <v>40</v>
      </c>
      <c r="C35" s="94"/>
      <c r="D35" s="95">
        <f>D15+D33</f>
        <v>9.88</v>
      </c>
      <c r="E35" s="94" t="s">
        <v>41</v>
      </c>
      <c r="F35" s="95">
        <f>F15+F33</f>
        <v>12.950457496545667</v>
      </c>
    </row>
    <row r="36" spans="1:6" ht="29.25" customHeight="1" thickBot="1">
      <c r="A36" s="79"/>
      <c r="B36" s="483" t="s">
        <v>158</v>
      </c>
      <c r="C36" s="484"/>
      <c r="D36" s="314">
        <f>D33-D33/(1+(1-$D$8))</f>
        <v>2.2800000000000002</v>
      </c>
      <c r="E36" s="96"/>
      <c r="F36" s="97"/>
    </row>
    <row r="37" spans="1:6" ht="16.5" customHeight="1">
      <c r="A37" s="79"/>
      <c r="B37" s="503" t="s">
        <v>64</v>
      </c>
      <c r="C37" s="504"/>
      <c r="D37" s="504"/>
      <c r="E37" s="505"/>
      <c r="F37" s="295">
        <f>D35-F35</f>
        <v>-3.070457496545666</v>
      </c>
    </row>
    <row r="38" spans="1:6" ht="16.5" customHeight="1">
      <c r="A38" s="79"/>
      <c r="B38" s="512" t="s">
        <v>115</v>
      </c>
      <c r="C38" s="513"/>
      <c r="D38" s="513"/>
      <c r="E38" s="514"/>
      <c r="F38" s="297">
        <f>_xlfn.IFERROR(IF((F37+F28+F29)&lt;0.005,"N/A",F9/D10*100/(F37+F29+F28))," ")</f>
        <v>10.121457489878543</v>
      </c>
    </row>
    <row r="39" spans="2:6" ht="16.5" thickBot="1">
      <c r="B39" s="506" t="s">
        <v>116</v>
      </c>
      <c r="C39" s="507"/>
      <c r="D39" s="507"/>
      <c r="E39" s="508"/>
      <c r="F39" s="296">
        <f>_xlfn.IFERROR(F37/$D$11," ")</f>
        <v>-0.06823238881212591</v>
      </c>
    </row>
    <row r="40" spans="1:6" s="45" customFormat="1" ht="44.25" customHeight="1">
      <c r="A40" s="100"/>
      <c r="B40" s="477" t="s">
        <v>134</v>
      </c>
      <c r="C40" s="477"/>
      <c r="D40" s="477"/>
      <c r="E40" s="477"/>
      <c r="F40" s="477"/>
    </row>
    <row r="41" spans="1:6" s="45" customFormat="1" ht="19.5" customHeight="1">
      <c r="A41" s="100"/>
      <c r="B41" s="478" t="s">
        <v>73</v>
      </c>
      <c r="C41" s="478"/>
      <c r="D41" s="478"/>
      <c r="E41" s="14"/>
      <c r="F41" s="101"/>
    </row>
    <row r="42" spans="1:6" s="45" customFormat="1" ht="22.5" customHeight="1" thickBot="1">
      <c r="A42" s="100"/>
      <c r="B42" s="487" t="str">
        <f>"Flux annuel moyen de trésorerie durant la période de l'emprunt. ("&amp;D10&amp;" m²)"</f>
        <v>Flux annuel moyen de trésorerie durant la période de l'emprunt. (500 m²)</v>
      </c>
      <c r="C42" s="487"/>
      <c r="D42" s="487"/>
      <c r="E42" s="487"/>
      <c r="F42" s="487"/>
    </row>
    <row r="43" spans="1:9" s="45" customFormat="1" ht="15.75" customHeight="1">
      <c r="A43" s="100"/>
      <c r="B43" s="488" t="str">
        <f>"Montant de l'emprunt  "&amp;H43*100&amp;" % de l'investissement"</f>
        <v>Montant de l'emprunt  75 % de l'investissement</v>
      </c>
      <c r="C43" s="489"/>
      <c r="D43" s="274">
        <f>H43*F9</f>
        <v>375</v>
      </c>
      <c r="E43" s="264" t="s">
        <v>54</v>
      </c>
      <c r="F43" s="265">
        <v>4</v>
      </c>
      <c r="H43" s="268">
        <v>0.75</v>
      </c>
      <c r="I43" s="269" t="s">
        <v>99</v>
      </c>
    </row>
    <row r="44" spans="1:9" s="45" customFormat="1" ht="15.75" customHeight="1" thickBot="1">
      <c r="A44" s="100"/>
      <c r="B44" s="490" t="str">
        <f>"Durée de l'emprunt  "&amp;H44*100&amp;" % de l'amortissement"</f>
        <v>Durée de l'emprunt  50 % de l'amortissement</v>
      </c>
      <c r="C44" s="491"/>
      <c r="D44" s="275">
        <f>F10*H44</f>
        <v>5</v>
      </c>
      <c r="E44" s="266" t="s">
        <v>55</v>
      </c>
      <c r="F44" s="267">
        <v>0.05</v>
      </c>
      <c r="H44" s="268">
        <v>0.5</v>
      </c>
      <c r="I44" s="269" t="s">
        <v>117</v>
      </c>
    </row>
    <row r="45" spans="1:6" s="85" customFormat="1" ht="15.75">
      <c r="A45" s="79"/>
      <c r="B45" s="109" t="s">
        <v>65</v>
      </c>
      <c r="C45" s="107"/>
      <c r="D45" s="173"/>
      <c r="E45" s="110" t="s">
        <v>66</v>
      </c>
      <c r="F45" s="108"/>
    </row>
    <row r="46" spans="1:6" ht="15.75">
      <c r="A46" s="79"/>
      <c r="B46" s="166" t="str">
        <f>"Économies de main d'œuvre sur "&amp;D10&amp;" m²"</f>
        <v>Économies de main d'œuvre sur 500 m²</v>
      </c>
      <c r="C46" s="74"/>
      <c r="D46" s="283">
        <f>D35*$D$10/100</f>
        <v>49.4</v>
      </c>
      <c r="E46" s="7" t="s">
        <v>43</v>
      </c>
      <c r="F46" s="112">
        <f>_xlfn.IFERROR(D43/D44," ")</f>
        <v>75</v>
      </c>
    </row>
    <row r="47" spans="2:6" ht="15.75">
      <c r="B47" s="176" t="s">
        <v>51</v>
      </c>
      <c r="C47" s="177"/>
      <c r="D47" s="174"/>
      <c r="E47" s="39" t="s">
        <v>44</v>
      </c>
      <c r="F47" s="112">
        <f>_xlfn.IFERROR((-PMT(F44/F43,D44*F43,D43))/D44," ")</f>
        <v>4.261529222385329</v>
      </c>
    </row>
    <row r="48" spans="2:6" ht="15.75">
      <c r="B48" s="185" t="s">
        <v>18</v>
      </c>
      <c r="C48" s="186"/>
      <c r="D48" s="187"/>
      <c r="E48" s="188" t="s">
        <v>46</v>
      </c>
      <c r="F48" s="187"/>
    </row>
    <row r="49" spans="2:6" ht="17.25" customHeight="1" thickBot="1">
      <c r="B49" s="89" t="s">
        <v>45</v>
      </c>
      <c r="C49" s="90"/>
      <c r="D49" s="92">
        <f>SUM(D46:D48)</f>
        <v>49.4</v>
      </c>
      <c r="E49" s="89" t="s">
        <v>12</v>
      </c>
      <c r="F49" s="92">
        <f>SUM(F46:F48)</f>
        <v>79.26152922238533</v>
      </c>
    </row>
    <row r="50" spans="2:6" ht="17.25" customHeight="1" thickBot="1">
      <c r="B50" s="494" t="s">
        <v>67</v>
      </c>
      <c r="C50" s="495"/>
      <c r="D50" s="495"/>
      <c r="E50" s="495"/>
      <c r="F50" s="158">
        <f>D49-F49</f>
        <v>-29.861529222385336</v>
      </c>
    </row>
    <row r="51" spans="2:6" ht="3.75" customHeight="1" thickBot="1">
      <c r="B51" s="55"/>
      <c r="C51" s="6"/>
      <c r="D51" s="6"/>
      <c r="E51" s="6"/>
      <c r="F51" s="98"/>
    </row>
    <row r="52" spans="2:6" ht="17.25" customHeight="1" thickBot="1">
      <c r="B52" s="494" t="s">
        <v>68</v>
      </c>
      <c r="C52" s="495"/>
      <c r="D52" s="495"/>
      <c r="E52" s="495"/>
      <c r="F52" s="158">
        <f>_xlfn.IFERROR(F50*100/D10,)</f>
        <v>-5.9723058444770665</v>
      </c>
    </row>
  </sheetData>
  <sheetProtection sheet="1"/>
  <mergeCells count="18">
    <mergeCell ref="B52:E52"/>
    <mergeCell ref="J4:K4"/>
    <mergeCell ref="B40:F40"/>
    <mergeCell ref="B41:D41"/>
    <mergeCell ref="B42:F42"/>
    <mergeCell ref="B43:C43"/>
    <mergeCell ref="B44:C44"/>
    <mergeCell ref="B50:E50"/>
    <mergeCell ref="B38:E38"/>
    <mergeCell ref="B2:F2"/>
    <mergeCell ref="B4:F4"/>
    <mergeCell ref="C6:F6"/>
    <mergeCell ref="B11:C11"/>
    <mergeCell ref="B37:E37"/>
    <mergeCell ref="B39:E39"/>
    <mergeCell ref="D5:F5"/>
    <mergeCell ref="B8:C8"/>
    <mergeCell ref="B36:C36"/>
  </mergeCells>
  <conditionalFormatting sqref="F52 F37 F39 F50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8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8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8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8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ignoredErrors>
    <ignoredError sqref="D10 F11 D46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52"/>
  <sheetViews>
    <sheetView zoomScale="90" zoomScaleNormal="90" zoomScalePageLayoutView="0" workbookViewId="0" topLeftCell="A1">
      <selection activeCell="B2" sqref="B2:F2"/>
    </sheetView>
  </sheetViews>
  <sheetFormatPr defaultColWidth="11.421875" defaultRowHeight="15"/>
  <cols>
    <col min="1" max="1" width="2.7109375" style="0" customWidth="1"/>
    <col min="2" max="2" width="42.140625" style="0" customWidth="1"/>
    <col min="3" max="3" width="10.8515625" style="0" customWidth="1"/>
    <col min="4" max="4" width="14.7109375" style="0" customWidth="1"/>
    <col min="5" max="5" width="39.8515625" style="0" customWidth="1"/>
    <col min="6" max="6" width="14.8515625" style="0" customWidth="1"/>
    <col min="7" max="7" width="3.28125" style="0" customWidth="1"/>
    <col min="8" max="8" width="8.57421875" style="0" customWidth="1"/>
  </cols>
  <sheetData>
    <row r="1" ht="6.75" customHeight="1" thickBot="1"/>
    <row r="2" spans="2:6" ht="26.25">
      <c r="B2" s="467" t="s">
        <v>71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70" t="str">
        <f>'11'!B4:F4</f>
        <v>Tomates beefsteak (classement et emballage)</v>
      </c>
      <c r="C4" s="471"/>
      <c r="D4" s="471"/>
      <c r="E4" s="471"/>
      <c r="F4" s="472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157</v>
      </c>
      <c r="D6" s="473"/>
      <c r="E6" s="473"/>
      <c r="F6" s="499"/>
    </row>
    <row r="7" spans="2:6" ht="15.75" thickBot="1">
      <c r="B7" s="47"/>
      <c r="C7" s="1"/>
      <c r="D7" s="23"/>
      <c r="E7" s="1"/>
      <c r="F7" s="48"/>
    </row>
    <row r="8" spans="2:6" ht="15">
      <c r="B8" s="509" t="s">
        <v>131</v>
      </c>
      <c r="C8" s="510"/>
      <c r="D8" s="337">
        <f>'11'!$D$8</f>
        <v>0.7</v>
      </c>
      <c r="E8" s="338" t="s">
        <v>77</v>
      </c>
      <c r="F8" s="190">
        <f>D10*D11/1000</f>
        <v>22.5</v>
      </c>
    </row>
    <row r="9" spans="2:6" ht="15">
      <c r="B9" s="86" t="s">
        <v>150</v>
      </c>
      <c r="C9" s="160"/>
      <c r="D9" s="449">
        <f>'11'!D9</f>
        <v>13</v>
      </c>
      <c r="E9" s="339" t="s">
        <v>53</v>
      </c>
      <c r="F9" s="168">
        <v>2000</v>
      </c>
    </row>
    <row r="10" spans="2:6" ht="15">
      <c r="B10" s="86" t="s">
        <v>39</v>
      </c>
      <c r="C10" s="159"/>
      <c r="D10" s="341">
        <f>1!D8</f>
        <v>500</v>
      </c>
      <c r="E10" s="83" t="s">
        <v>34</v>
      </c>
      <c r="F10" s="169">
        <v>15</v>
      </c>
    </row>
    <row r="11" spans="2:6" ht="15.75" customHeight="1" thickBot="1">
      <c r="B11" s="501" t="s">
        <v>141</v>
      </c>
      <c r="C11" s="502"/>
      <c r="D11" s="450">
        <f>'11'!D11</f>
        <v>45</v>
      </c>
      <c r="E11" s="161" t="s">
        <v>42</v>
      </c>
      <c r="F11" s="263">
        <f>1!F9</f>
        <v>0.05</v>
      </c>
    </row>
    <row r="12" spans="2:6" ht="16.5" customHeight="1">
      <c r="B12" s="51" t="s">
        <v>9</v>
      </c>
      <c r="C12" s="73"/>
      <c r="D12" s="17" t="s">
        <v>7</v>
      </c>
      <c r="E12" s="87" t="s">
        <v>22</v>
      </c>
      <c r="F12" s="88" t="s">
        <v>8</v>
      </c>
    </row>
    <row r="13" spans="2:6" ht="15.75">
      <c r="B13" s="183" t="s">
        <v>18</v>
      </c>
      <c r="C13" s="177"/>
      <c r="D13" s="178"/>
      <c r="E13" s="322" t="s">
        <v>18</v>
      </c>
      <c r="F13" s="178"/>
    </row>
    <row r="14" spans="2:6" ht="15.75">
      <c r="B14" s="325" t="s">
        <v>18</v>
      </c>
      <c r="C14" s="177"/>
      <c r="D14" s="180"/>
      <c r="E14" s="323"/>
      <c r="F14" s="180"/>
    </row>
    <row r="15" spans="2:6" ht="16.5" thickBot="1">
      <c r="B15" s="89" t="s">
        <v>1</v>
      </c>
      <c r="C15" s="90"/>
      <c r="D15" s="114">
        <f>SUM(D13:D14)</f>
        <v>0</v>
      </c>
      <c r="E15" s="91" t="s">
        <v>2</v>
      </c>
      <c r="F15" s="114">
        <f>SUM(F13:F14)</f>
        <v>0</v>
      </c>
    </row>
    <row r="16" spans="2:6" ht="3.75" customHeight="1" thickBot="1">
      <c r="B16" s="57"/>
      <c r="C16" s="9"/>
      <c r="D16" s="8"/>
      <c r="E16" s="9"/>
      <c r="F16" s="10"/>
    </row>
    <row r="17" spans="2:6" ht="16.5" customHeight="1" hidden="1" thickBot="1">
      <c r="B17" s="53" t="s">
        <v>18</v>
      </c>
      <c r="C17" s="75"/>
      <c r="D17" s="2"/>
      <c r="E17" s="5"/>
      <c r="F17" s="4"/>
    </row>
    <row r="18" spans="2:6" ht="15.75" customHeight="1" hidden="1" thickBot="1">
      <c r="B18" s="54"/>
      <c r="C18" s="5"/>
      <c r="D18" s="2"/>
      <c r="E18" s="5"/>
      <c r="F18" s="4"/>
    </row>
    <row r="19" spans="2:6" ht="15.75" customHeight="1" hidden="1" thickBot="1">
      <c r="B19" s="54"/>
      <c r="C19" s="5"/>
      <c r="D19" s="2"/>
      <c r="E19" s="5"/>
      <c r="F19" s="4"/>
    </row>
    <row r="20" spans="2:6" ht="15.75" customHeight="1" hidden="1" thickBot="1">
      <c r="B20" s="54"/>
      <c r="C20" s="5"/>
      <c r="D20" s="2"/>
      <c r="E20" s="5"/>
      <c r="F20" s="4"/>
    </row>
    <row r="21" spans="2:6" ht="15.75" customHeight="1" hidden="1" thickBot="1">
      <c r="B21" s="55"/>
      <c r="C21" s="6"/>
      <c r="D21" s="2"/>
      <c r="E21" s="6"/>
      <c r="F21" s="4"/>
    </row>
    <row r="22" spans="2:5" ht="16.5" customHeight="1" hidden="1" thickBot="1">
      <c r="B22" s="56"/>
      <c r="C22" s="38"/>
      <c r="E22" s="38"/>
    </row>
    <row r="23" spans="2:6" ht="15.75" customHeight="1" hidden="1" thickBot="1">
      <c r="B23" s="57"/>
      <c r="C23" s="9"/>
      <c r="D23" s="8"/>
      <c r="E23" s="9"/>
      <c r="F23" s="10"/>
    </row>
    <row r="24" spans="2:6" ht="15.75">
      <c r="B24" s="58" t="s">
        <v>3</v>
      </c>
      <c r="C24" s="76"/>
      <c r="D24" s="15"/>
      <c r="E24" s="162" t="s">
        <v>23</v>
      </c>
      <c r="F24" s="16"/>
    </row>
    <row r="25" spans="2:6" ht="15">
      <c r="B25" s="54"/>
      <c r="C25" s="327" t="s">
        <v>135</v>
      </c>
      <c r="D25" s="326" t="s">
        <v>133</v>
      </c>
      <c r="E25" s="20" t="s">
        <v>18</v>
      </c>
      <c r="F25" s="326" t="s">
        <v>38</v>
      </c>
    </row>
    <row r="26" spans="2:6" ht="15">
      <c r="B26" s="72" t="s">
        <v>24</v>
      </c>
      <c r="C26" s="77"/>
      <c r="D26" s="27"/>
      <c r="E26" s="170" t="s">
        <v>18</v>
      </c>
      <c r="F26" s="172"/>
    </row>
    <row r="27" spans="2:6" ht="15">
      <c r="B27" s="183" t="s">
        <v>93</v>
      </c>
      <c r="C27" s="304">
        <v>2.94</v>
      </c>
      <c r="D27" s="307">
        <f aca="true" t="shared" si="0" ref="D27:D32">C27*$D$9</f>
        <v>38.22</v>
      </c>
      <c r="E27" s="451" t="s">
        <v>94</v>
      </c>
      <c r="F27" s="184"/>
    </row>
    <row r="28" spans="2:6" ht="15">
      <c r="B28" s="183"/>
      <c r="C28" s="304"/>
      <c r="D28" s="307">
        <f t="shared" si="0"/>
        <v>0</v>
      </c>
      <c r="E28" s="171" t="s">
        <v>28</v>
      </c>
      <c r="F28" s="307">
        <f>_xlfn.IFERROR(F9/F10*100/D10,0)</f>
        <v>26.666666666666668</v>
      </c>
    </row>
    <row r="29" spans="2:6" ht="15">
      <c r="B29" s="182"/>
      <c r="C29" s="304"/>
      <c r="D29" s="307">
        <f t="shared" si="0"/>
        <v>0</v>
      </c>
      <c r="E29" s="171" t="s">
        <v>52</v>
      </c>
      <c r="F29" s="307">
        <f>_xlfn.IFERROR((((-(PMT($F$11/1,$F$10*1,$F$9)))*$F$10*1-$F$9))/$F$10*100/$D$10,0)</f>
        <v>11.870248377031082</v>
      </c>
    </row>
    <row r="30" spans="2:6" ht="15" customHeight="1" hidden="1">
      <c r="B30" s="54"/>
      <c r="C30" s="318"/>
      <c r="D30" s="115">
        <f t="shared" si="0"/>
        <v>0</v>
      </c>
      <c r="E30" s="163" t="s">
        <v>18</v>
      </c>
      <c r="F30" s="99"/>
    </row>
    <row r="31" spans="2:6" ht="15" customHeight="1" hidden="1">
      <c r="B31" s="54"/>
      <c r="C31" s="319"/>
      <c r="D31" s="307">
        <f t="shared" si="0"/>
        <v>0</v>
      </c>
      <c r="E31" s="163"/>
      <c r="F31" s="99"/>
    </row>
    <row r="32" spans="2:6" ht="15" customHeight="1" hidden="1">
      <c r="B32" s="54"/>
      <c r="C32" s="319"/>
      <c r="D32" s="307">
        <f t="shared" si="0"/>
        <v>0</v>
      </c>
      <c r="E32" s="163" t="s">
        <v>18</v>
      </c>
      <c r="F32" s="99"/>
    </row>
    <row r="33" spans="1:6" ht="16.5" thickBot="1">
      <c r="A33" s="79"/>
      <c r="B33" s="89" t="s">
        <v>5</v>
      </c>
      <c r="C33" s="320">
        <f>SUM(C27:C32)</f>
        <v>2.94</v>
      </c>
      <c r="D33" s="116">
        <f>SUM(D25:D32)</f>
        <v>38.22</v>
      </c>
      <c r="E33" s="164" t="s">
        <v>6</v>
      </c>
      <c r="F33" s="116">
        <f>SUM(F25:F32)</f>
        <v>38.536915043697746</v>
      </c>
    </row>
    <row r="34" spans="2:6" ht="6" customHeight="1">
      <c r="B34" s="55"/>
      <c r="C34" s="321"/>
      <c r="D34" s="27"/>
      <c r="E34" s="14"/>
      <c r="F34" s="30"/>
    </row>
    <row r="35" spans="1:6" ht="16.5" customHeight="1" thickBot="1">
      <c r="A35" s="79"/>
      <c r="B35" s="93" t="s">
        <v>40</v>
      </c>
      <c r="C35" s="94"/>
      <c r="D35" s="95">
        <f>D15+D33</f>
        <v>38.22</v>
      </c>
      <c r="E35" s="94" t="s">
        <v>41</v>
      </c>
      <c r="F35" s="95">
        <f>F15+F33</f>
        <v>38.536915043697746</v>
      </c>
    </row>
    <row r="36" spans="1:6" ht="29.25" customHeight="1" thickBot="1">
      <c r="A36" s="79"/>
      <c r="B36" s="483" t="s">
        <v>158</v>
      </c>
      <c r="C36" s="484"/>
      <c r="D36" s="314">
        <f>D33-D33/(1+(1-$D$8))</f>
        <v>8.82</v>
      </c>
      <c r="E36" s="96"/>
      <c r="F36" s="97"/>
    </row>
    <row r="37" spans="1:6" ht="16.5" customHeight="1">
      <c r="A37" s="79"/>
      <c r="B37" s="503" t="s">
        <v>64</v>
      </c>
      <c r="C37" s="504"/>
      <c r="D37" s="504"/>
      <c r="E37" s="505"/>
      <c r="F37" s="295">
        <f>D35-F35</f>
        <v>-0.3169150436977475</v>
      </c>
    </row>
    <row r="38" spans="1:6" ht="16.5" customHeight="1">
      <c r="A38" s="79"/>
      <c r="B38" s="512" t="s">
        <v>115</v>
      </c>
      <c r="C38" s="513"/>
      <c r="D38" s="513"/>
      <c r="E38" s="514"/>
      <c r="F38" s="297">
        <f>_xlfn.IFERROR(IF((F37+F28+F29)&lt;0.005,"N/A",F9/D10*100/(F37+F29+F28))," ")</f>
        <v>10.465724751439037</v>
      </c>
    </row>
    <row r="39" spans="2:6" ht="16.5" thickBot="1">
      <c r="B39" s="506" t="s">
        <v>116</v>
      </c>
      <c r="C39" s="507"/>
      <c r="D39" s="507"/>
      <c r="E39" s="508"/>
      <c r="F39" s="296">
        <f>_xlfn.IFERROR(F37/$D$11," ")</f>
        <v>-0.007042556526616611</v>
      </c>
    </row>
    <row r="40" spans="1:6" s="45" customFormat="1" ht="44.25" customHeight="1">
      <c r="A40" s="100"/>
      <c r="B40" s="477" t="s">
        <v>134</v>
      </c>
      <c r="C40" s="477"/>
      <c r="D40" s="477"/>
      <c r="E40" s="477"/>
      <c r="F40" s="477"/>
    </row>
    <row r="41" spans="1:6" s="45" customFormat="1" ht="19.5" customHeight="1">
      <c r="A41" s="100"/>
      <c r="B41" s="478" t="s">
        <v>73</v>
      </c>
      <c r="C41" s="478"/>
      <c r="D41" s="478"/>
      <c r="E41" s="14"/>
      <c r="F41" s="101"/>
    </row>
    <row r="42" spans="1:6" s="45" customFormat="1" ht="22.5" customHeight="1" thickBot="1">
      <c r="A42" s="100"/>
      <c r="B42" s="487" t="str">
        <f>"Flux annuel moyen de trésorerie durant la période de l'emprunt. ("&amp;D10&amp;" m²)"</f>
        <v>Flux annuel moyen de trésorerie durant la période de l'emprunt. (500 m²)</v>
      </c>
      <c r="C42" s="487"/>
      <c r="D42" s="487"/>
      <c r="E42" s="487"/>
      <c r="F42" s="487"/>
    </row>
    <row r="43" spans="1:9" s="45" customFormat="1" ht="15.75" customHeight="1">
      <c r="A43" s="100"/>
      <c r="B43" s="488" t="str">
        <f>"Montant de l'emprunt  "&amp;H43*100&amp;" % de l'investissement"</f>
        <v>Montant de l'emprunt  75 % de l'investissement</v>
      </c>
      <c r="C43" s="489"/>
      <c r="D43" s="274">
        <f>H43*F9</f>
        <v>1500</v>
      </c>
      <c r="E43" s="264" t="s">
        <v>54</v>
      </c>
      <c r="F43" s="265">
        <v>4</v>
      </c>
      <c r="H43" s="268">
        <v>0.75</v>
      </c>
      <c r="I43" s="269" t="s">
        <v>99</v>
      </c>
    </row>
    <row r="44" spans="1:9" s="45" customFormat="1" ht="15.75" customHeight="1" thickBot="1">
      <c r="A44" s="100"/>
      <c r="B44" s="490" t="str">
        <f>"Durée de l'emprunt  "&amp;H44*100&amp;" % de l'amortissement"</f>
        <v>Durée de l'emprunt  50 % de l'amortissement</v>
      </c>
      <c r="C44" s="491"/>
      <c r="D44" s="275">
        <f>F10*H44</f>
        <v>7.5</v>
      </c>
      <c r="E44" s="266" t="s">
        <v>55</v>
      </c>
      <c r="F44" s="267">
        <v>0.05</v>
      </c>
      <c r="H44" s="268">
        <v>0.5</v>
      </c>
      <c r="I44" s="269" t="s">
        <v>117</v>
      </c>
    </row>
    <row r="45" spans="1:6" s="85" customFormat="1" ht="15.75">
      <c r="A45" s="79"/>
      <c r="B45" s="109" t="s">
        <v>65</v>
      </c>
      <c r="C45" s="107"/>
      <c r="D45" s="173"/>
      <c r="E45" s="110" t="s">
        <v>66</v>
      </c>
      <c r="F45" s="108"/>
    </row>
    <row r="46" spans="1:6" ht="15.75">
      <c r="A46" s="79"/>
      <c r="B46" s="166" t="str">
        <f>"Économies de main d'œuvre sur "&amp;D10&amp;" m²"</f>
        <v>Économies de main d'œuvre sur 500 m²</v>
      </c>
      <c r="C46" s="74"/>
      <c r="D46" s="283">
        <f>D35*$D$10/100</f>
        <v>191.1</v>
      </c>
      <c r="E46" s="7" t="s">
        <v>43</v>
      </c>
      <c r="F46" s="112">
        <f>_xlfn.IFERROR(D43/D44," ")</f>
        <v>200</v>
      </c>
    </row>
    <row r="47" spans="2:6" ht="15.75">
      <c r="B47" s="176" t="s">
        <v>51</v>
      </c>
      <c r="C47" s="177"/>
      <c r="D47" s="174"/>
      <c r="E47" s="39" t="s">
        <v>44</v>
      </c>
      <c r="F47" s="112">
        <f>_xlfn.IFERROR((-PMT(F44/F43,D44*F43,D43))/D44," ")</f>
        <v>8.035708686652745</v>
      </c>
    </row>
    <row r="48" spans="2:6" ht="15.75">
      <c r="B48" s="185" t="s">
        <v>18</v>
      </c>
      <c r="C48" s="186"/>
      <c r="D48" s="187"/>
      <c r="E48" s="188" t="s">
        <v>46</v>
      </c>
      <c r="F48" s="187"/>
    </row>
    <row r="49" spans="2:6" ht="17.25" customHeight="1" thickBot="1">
      <c r="B49" s="89" t="s">
        <v>45</v>
      </c>
      <c r="C49" s="90"/>
      <c r="D49" s="92">
        <f>SUM(D46:D48)</f>
        <v>191.1</v>
      </c>
      <c r="E49" s="89" t="s">
        <v>12</v>
      </c>
      <c r="F49" s="92">
        <f>SUM(F46:F48)</f>
        <v>208.03570868665275</v>
      </c>
    </row>
    <row r="50" spans="2:6" ht="17.25" customHeight="1" thickBot="1">
      <c r="B50" s="494" t="s">
        <v>67</v>
      </c>
      <c r="C50" s="495"/>
      <c r="D50" s="495"/>
      <c r="E50" s="495"/>
      <c r="F50" s="158">
        <f>D49-F49</f>
        <v>-16.93570868665276</v>
      </c>
    </row>
    <row r="51" spans="2:6" ht="3.75" customHeight="1" thickBot="1">
      <c r="B51" s="55"/>
      <c r="C51" s="6"/>
      <c r="D51" s="6"/>
      <c r="E51" s="6"/>
      <c r="F51" s="98"/>
    </row>
    <row r="52" spans="2:6" ht="17.25" customHeight="1" thickBot="1">
      <c r="B52" s="494" t="s">
        <v>68</v>
      </c>
      <c r="C52" s="495"/>
      <c r="D52" s="495"/>
      <c r="E52" s="495"/>
      <c r="F52" s="158">
        <f>_xlfn.IFERROR(F50*100/D10,)</f>
        <v>-3.3871417373305523</v>
      </c>
    </row>
  </sheetData>
  <sheetProtection sheet="1"/>
  <mergeCells count="17">
    <mergeCell ref="B52:E52"/>
    <mergeCell ref="B39:E39"/>
    <mergeCell ref="B40:F40"/>
    <mergeCell ref="B41:D41"/>
    <mergeCell ref="B42:F42"/>
    <mergeCell ref="B43:C43"/>
    <mergeCell ref="B44:C44"/>
    <mergeCell ref="B2:F2"/>
    <mergeCell ref="B4:F4"/>
    <mergeCell ref="C6:F6"/>
    <mergeCell ref="B11:C11"/>
    <mergeCell ref="B37:E37"/>
    <mergeCell ref="B50:E50"/>
    <mergeCell ref="B38:E38"/>
    <mergeCell ref="D5:F5"/>
    <mergeCell ref="B8:C8"/>
    <mergeCell ref="B36:C36"/>
  </mergeCells>
  <conditionalFormatting sqref="F50 F52 F37 F39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38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8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7 F39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8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38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38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38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8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8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8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8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52 F37 F39 F5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8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8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8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8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5" r:id="rId1"/>
  <ignoredErrors>
    <ignoredError sqref="D9 D11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52"/>
  <sheetViews>
    <sheetView showZeros="0" zoomScale="90" zoomScaleNormal="90" zoomScalePageLayoutView="0" workbookViewId="0" topLeftCell="A1">
      <selection activeCell="B2" sqref="B2:F2"/>
    </sheetView>
  </sheetViews>
  <sheetFormatPr defaultColWidth="11.421875" defaultRowHeight="15"/>
  <cols>
    <col min="1" max="1" width="2.7109375" style="0" customWidth="1"/>
    <col min="2" max="2" width="42.140625" style="0" customWidth="1"/>
    <col min="3" max="3" width="10.8515625" style="0" customWidth="1"/>
    <col min="4" max="4" width="14.7109375" style="0" customWidth="1"/>
    <col min="5" max="5" width="39.8515625" style="0" customWidth="1"/>
    <col min="6" max="6" width="14.8515625" style="0" customWidth="1"/>
    <col min="7" max="7" width="3.28125" style="0" customWidth="1"/>
    <col min="8" max="8" width="8.57421875" style="0" customWidth="1"/>
  </cols>
  <sheetData>
    <row r="1" ht="7.5" customHeight="1" thickBot="1"/>
    <row r="2" spans="2:6" ht="26.25">
      <c r="B2" s="467" t="s">
        <v>71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70" t="str">
        <f>'11'!B4:F4</f>
        <v>Tomates beefsteak (classement et emballage)</v>
      </c>
      <c r="C4" s="471"/>
      <c r="D4" s="471"/>
      <c r="E4" s="471"/>
      <c r="F4" s="472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27</v>
      </c>
      <c r="D6" s="473"/>
      <c r="E6" s="473"/>
      <c r="F6" s="499"/>
    </row>
    <row r="7" spans="2:6" ht="15.75" thickBot="1">
      <c r="B7" s="47"/>
      <c r="C7" s="1"/>
      <c r="D7" s="23"/>
      <c r="E7" s="1"/>
      <c r="F7" s="48"/>
    </row>
    <row r="8" spans="2:6" ht="15">
      <c r="B8" s="509" t="s">
        <v>131</v>
      </c>
      <c r="C8" s="510"/>
      <c r="D8" s="337">
        <f>'11'!$D$8</f>
        <v>0.7</v>
      </c>
      <c r="E8" s="338" t="s">
        <v>77</v>
      </c>
      <c r="F8" s="190">
        <f>D10*D11/1000</f>
        <v>22.5</v>
      </c>
    </row>
    <row r="9" spans="2:6" ht="15">
      <c r="B9" s="86" t="s">
        <v>150</v>
      </c>
      <c r="C9" s="160"/>
      <c r="D9" s="449">
        <f>'11'!D9</f>
        <v>13</v>
      </c>
      <c r="E9" s="339" t="s">
        <v>53</v>
      </c>
      <c r="F9" s="168">
        <v>500</v>
      </c>
    </row>
    <row r="10" spans="2:6" ht="15">
      <c r="B10" s="86" t="s">
        <v>39</v>
      </c>
      <c r="C10" s="159"/>
      <c r="D10" s="341">
        <f>1!D8</f>
        <v>500</v>
      </c>
      <c r="E10" s="83" t="s">
        <v>34</v>
      </c>
      <c r="F10" s="169">
        <v>5</v>
      </c>
    </row>
    <row r="11" spans="2:6" ht="15.75" customHeight="1" thickBot="1">
      <c r="B11" s="501" t="s">
        <v>141</v>
      </c>
      <c r="C11" s="502"/>
      <c r="D11" s="450">
        <f>'11'!D11</f>
        <v>45</v>
      </c>
      <c r="E11" s="161" t="s">
        <v>42</v>
      </c>
      <c r="F11" s="263">
        <f>1!F9</f>
        <v>0.05</v>
      </c>
    </row>
    <row r="12" spans="2:6" ht="16.5" customHeight="1">
      <c r="B12" s="51" t="s">
        <v>9</v>
      </c>
      <c r="C12" s="73"/>
      <c r="D12" s="17" t="s">
        <v>7</v>
      </c>
      <c r="E12" s="87" t="s">
        <v>22</v>
      </c>
      <c r="F12" s="88" t="s">
        <v>8</v>
      </c>
    </row>
    <row r="13" spans="2:6" ht="15.75">
      <c r="B13" s="183" t="s">
        <v>18</v>
      </c>
      <c r="C13" s="177"/>
      <c r="D13" s="178"/>
      <c r="E13" s="322" t="s">
        <v>18</v>
      </c>
      <c r="F13" s="178"/>
    </row>
    <row r="14" spans="2:6" ht="15.75">
      <c r="B14" s="325" t="s">
        <v>18</v>
      </c>
      <c r="C14" s="177"/>
      <c r="D14" s="180"/>
      <c r="E14" s="323"/>
      <c r="F14" s="180"/>
    </row>
    <row r="15" spans="2:6" ht="16.5" thickBot="1">
      <c r="B15" s="89" t="s">
        <v>1</v>
      </c>
      <c r="C15" s="90"/>
      <c r="D15" s="114">
        <f>SUM(D13:D14)</f>
        <v>0</v>
      </c>
      <c r="E15" s="91" t="s">
        <v>2</v>
      </c>
      <c r="F15" s="114">
        <f>SUM(F13:F14)</f>
        <v>0</v>
      </c>
    </row>
    <row r="16" spans="2:6" ht="3.75" customHeight="1" thickBot="1">
      <c r="B16" s="57"/>
      <c r="C16" s="9"/>
      <c r="D16" s="8"/>
      <c r="E16" s="9"/>
      <c r="F16" s="10"/>
    </row>
    <row r="17" spans="2:6" ht="16.5" customHeight="1" hidden="1" thickBot="1">
      <c r="B17" s="53" t="s">
        <v>18</v>
      </c>
      <c r="C17" s="75"/>
      <c r="D17" s="2"/>
      <c r="E17" s="5"/>
      <c r="F17" s="4"/>
    </row>
    <row r="18" spans="2:6" ht="15.75" customHeight="1" hidden="1" thickBot="1">
      <c r="B18" s="54"/>
      <c r="C18" s="5"/>
      <c r="D18" s="2"/>
      <c r="E18" s="5"/>
      <c r="F18" s="4"/>
    </row>
    <row r="19" spans="2:6" ht="15.75" customHeight="1" hidden="1" thickBot="1">
      <c r="B19" s="54"/>
      <c r="C19" s="5"/>
      <c r="D19" s="2"/>
      <c r="E19" s="5"/>
      <c r="F19" s="4"/>
    </row>
    <row r="20" spans="2:6" ht="15.75" customHeight="1" hidden="1" thickBot="1">
      <c r="B20" s="54"/>
      <c r="C20" s="5"/>
      <c r="D20" s="2"/>
      <c r="E20" s="5"/>
      <c r="F20" s="4"/>
    </row>
    <row r="21" spans="2:6" ht="15.75" customHeight="1" hidden="1" thickBot="1">
      <c r="B21" s="55"/>
      <c r="C21" s="6"/>
      <c r="D21" s="2"/>
      <c r="E21" s="6"/>
      <c r="F21" s="4"/>
    </row>
    <row r="22" spans="2:5" ht="16.5" customHeight="1" hidden="1" thickBot="1">
      <c r="B22" s="56"/>
      <c r="C22" s="38"/>
      <c r="E22" s="38"/>
    </row>
    <row r="23" spans="2:6" ht="15.75" customHeight="1" hidden="1" thickBot="1">
      <c r="B23" s="57"/>
      <c r="C23" s="9"/>
      <c r="D23" s="8"/>
      <c r="E23" s="9"/>
      <c r="F23" s="10"/>
    </row>
    <row r="24" spans="2:6" ht="15.75">
      <c r="B24" s="58" t="s">
        <v>3</v>
      </c>
      <c r="C24" s="76"/>
      <c r="D24" s="15"/>
      <c r="E24" s="162" t="s">
        <v>23</v>
      </c>
      <c r="F24" s="16"/>
    </row>
    <row r="25" spans="2:6" ht="15">
      <c r="B25" s="54"/>
      <c r="C25" s="327" t="s">
        <v>135</v>
      </c>
      <c r="D25" s="326" t="s">
        <v>133</v>
      </c>
      <c r="E25" s="20" t="s">
        <v>18</v>
      </c>
      <c r="F25" s="326" t="s">
        <v>38</v>
      </c>
    </row>
    <row r="26" spans="2:6" ht="15">
      <c r="B26" s="72" t="s">
        <v>24</v>
      </c>
      <c r="C26" s="77"/>
      <c r="D26" s="27"/>
      <c r="E26" s="170" t="s">
        <v>18</v>
      </c>
      <c r="F26" s="172"/>
    </row>
    <row r="27" spans="2:6" ht="15">
      <c r="B27" s="183" t="s">
        <v>93</v>
      </c>
      <c r="C27" s="304">
        <v>2.7</v>
      </c>
      <c r="D27" s="307">
        <f aca="true" t="shared" si="0" ref="D27:D32">C27*$D$9</f>
        <v>35.1</v>
      </c>
      <c r="E27" s="451" t="s">
        <v>94</v>
      </c>
      <c r="F27" s="184"/>
    </row>
    <row r="28" spans="2:6" ht="15">
      <c r="B28" s="183"/>
      <c r="C28" s="304"/>
      <c r="D28" s="307">
        <f t="shared" si="0"/>
        <v>0</v>
      </c>
      <c r="E28" s="171" t="s">
        <v>28</v>
      </c>
      <c r="F28" s="307">
        <f>_xlfn.IFERROR(F9/F10*100/D10,0)</f>
        <v>20</v>
      </c>
    </row>
    <row r="29" spans="2:6" ht="15">
      <c r="B29" s="182"/>
      <c r="C29" s="304"/>
      <c r="D29" s="307">
        <f t="shared" si="0"/>
        <v>0</v>
      </c>
      <c r="E29" s="171" t="s">
        <v>52</v>
      </c>
      <c r="F29" s="307">
        <f>_xlfn.IFERROR((((-(PMT($F$11/1,$F$10*1,$F$9)))*$F$10*1-$F$9))/$F$10*100/$D$10,0)</f>
        <v>3.0974798128268093</v>
      </c>
    </row>
    <row r="30" spans="2:6" ht="15" customHeight="1" hidden="1">
      <c r="B30" s="54"/>
      <c r="C30" s="318"/>
      <c r="D30" s="115">
        <f t="shared" si="0"/>
        <v>0</v>
      </c>
      <c r="E30" s="163" t="s">
        <v>18</v>
      </c>
      <c r="F30" s="99"/>
    </row>
    <row r="31" spans="2:6" ht="15" customHeight="1" hidden="1">
      <c r="B31" s="54"/>
      <c r="C31" s="319"/>
      <c r="D31" s="307">
        <f t="shared" si="0"/>
        <v>0</v>
      </c>
      <c r="E31" s="163"/>
      <c r="F31" s="99"/>
    </row>
    <row r="32" spans="2:6" ht="15" customHeight="1" hidden="1">
      <c r="B32" s="54"/>
      <c r="C32" s="319"/>
      <c r="D32" s="307">
        <f t="shared" si="0"/>
        <v>0</v>
      </c>
      <c r="E32" s="163" t="s">
        <v>18</v>
      </c>
      <c r="F32" s="99"/>
    </row>
    <row r="33" spans="1:6" ht="16.5" thickBot="1">
      <c r="A33" s="79"/>
      <c r="B33" s="89" t="s">
        <v>5</v>
      </c>
      <c r="C33" s="320">
        <f>SUM(C27:C32)</f>
        <v>2.7</v>
      </c>
      <c r="D33" s="116">
        <f>SUM(D25:D32)</f>
        <v>35.1</v>
      </c>
      <c r="E33" s="164" t="s">
        <v>6</v>
      </c>
      <c r="F33" s="116">
        <f>SUM(F25:F32)</f>
        <v>23.09747981282681</v>
      </c>
    </row>
    <row r="34" spans="2:6" ht="6" customHeight="1">
      <c r="B34" s="55"/>
      <c r="C34" s="321"/>
      <c r="D34" s="27"/>
      <c r="E34" s="14"/>
      <c r="F34" s="30"/>
    </row>
    <row r="35" spans="1:6" ht="16.5" customHeight="1" thickBot="1">
      <c r="A35" s="79"/>
      <c r="B35" s="93" t="s">
        <v>40</v>
      </c>
      <c r="C35" s="94"/>
      <c r="D35" s="95">
        <f>D15+D33</f>
        <v>35.1</v>
      </c>
      <c r="E35" s="94" t="s">
        <v>41</v>
      </c>
      <c r="F35" s="95">
        <f>F15+F33</f>
        <v>23.09747981282681</v>
      </c>
    </row>
    <row r="36" spans="1:6" ht="29.25" customHeight="1" thickBot="1">
      <c r="A36" s="79"/>
      <c r="B36" s="483" t="s">
        <v>158</v>
      </c>
      <c r="C36" s="484"/>
      <c r="D36" s="314">
        <f>D33-D33/(1+(1-$D$8))</f>
        <v>8.100000000000001</v>
      </c>
      <c r="E36" s="96"/>
      <c r="F36" s="97"/>
    </row>
    <row r="37" spans="1:6" ht="16.5" customHeight="1">
      <c r="A37" s="79"/>
      <c r="B37" s="503" t="s">
        <v>64</v>
      </c>
      <c r="C37" s="504"/>
      <c r="D37" s="504"/>
      <c r="E37" s="505"/>
      <c r="F37" s="295">
        <f>D35-F35</f>
        <v>12.002520187173193</v>
      </c>
    </row>
    <row r="38" spans="1:6" ht="16.5" customHeight="1">
      <c r="A38" s="79"/>
      <c r="B38" s="512" t="s">
        <v>115</v>
      </c>
      <c r="C38" s="513"/>
      <c r="D38" s="513"/>
      <c r="E38" s="514"/>
      <c r="F38" s="297">
        <f>_xlfn.IFERROR(IF((F37+F28+F29)&lt;0.005,"N/A",F9/D10*100/(F37+F29+F28))," ")</f>
        <v>2.849002849002849</v>
      </c>
    </row>
    <row r="39" spans="2:6" ht="16.5" thickBot="1">
      <c r="B39" s="506" t="s">
        <v>116</v>
      </c>
      <c r="C39" s="507"/>
      <c r="D39" s="507"/>
      <c r="E39" s="508"/>
      <c r="F39" s="296">
        <f>_xlfn.IFERROR(F37/$D$11," ")</f>
        <v>0.26672267082607093</v>
      </c>
    </row>
    <row r="40" spans="1:6" s="45" customFormat="1" ht="44.25" customHeight="1">
      <c r="A40" s="100"/>
      <c r="B40" s="477" t="s">
        <v>134</v>
      </c>
      <c r="C40" s="477"/>
      <c r="D40" s="477"/>
      <c r="E40" s="477"/>
      <c r="F40" s="477"/>
    </row>
    <row r="41" spans="1:6" s="45" customFormat="1" ht="19.5" customHeight="1">
      <c r="A41" s="100"/>
      <c r="B41" s="478" t="s">
        <v>73</v>
      </c>
      <c r="C41" s="478"/>
      <c r="D41" s="478"/>
      <c r="E41" s="14"/>
      <c r="F41" s="101"/>
    </row>
    <row r="42" spans="1:6" s="45" customFormat="1" ht="22.5" customHeight="1" thickBot="1">
      <c r="A42" s="100"/>
      <c r="B42" s="487" t="str">
        <f>"Flux annuel moyen de trésorerie durant la période de l'emprunt. ("&amp;D10&amp;" m²)"</f>
        <v>Flux annuel moyen de trésorerie durant la période de l'emprunt. (500 m²)</v>
      </c>
      <c r="C42" s="487"/>
      <c r="D42" s="487"/>
      <c r="E42" s="487"/>
      <c r="F42" s="487"/>
    </row>
    <row r="43" spans="1:9" s="45" customFormat="1" ht="15.75" customHeight="1">
      <c r="A43" s="100"/>
      <c r="B43" s="488" t="str">
        <f>"Montant de l'emprunt  "&amp;H43*100&amp;" % de l'investissement"</f>
        <v>Montant de l'emprunt  75 % de l'investissement</v>
      </c>
      <c r="C43" s="489"/>
      <c r="D43" s="274">
        <f>H43*F9</f>
        <v>375</v>
      </c>
      <c r="E43" s="264" t="s">
        <v>54</v>
      </c>
      <c r="F43" s="265">
        <v>4</v>
      </c>
      <c r="H43" s="268">
        <v>0.75</v>
      </c>
      <c r="I43" s="269" t="s">
        <v>99</v>
      </c>
    </row>
    <row r="44" spans="1:9" s="45" customFormat="1" ht="15.75" customHeight="1" thickBot="1">
      <c r="A44" s="100"/>
      <c r="B44" s="490" t="str">
        <f>"Durée de l'emprunt  "&amp;H44*100&amp;" % de l'amortissement"</f>
        <v>Durée de l'emprunt  50 % de l'amortissement</v>
      </c>
      <c r="C44" s="491"/>
      <c r="D44" s="275">
        <f>F10*H44</f>
        <v>2.5</v>
      </c>
      <c r="E44" s="266" t="s">
        <v>55</v>
      </c>
      <c r="F44" s="267">
        <v>0.05</v>
      </c>
      <c r="H44" s="268">
        <v>0.5</v>
      </c>
      <c r="I44" s="269" t="s">
        <v>117</v>
      </c>
    </row>
    <row r="45" spans="1:6" s="85" customFormat="1" ht="15.75">
      <c r="A45" s="79"/>
      <c r="B45" s="109" t="s">
        <v>65</v>
      </c>
      <c r="C45" s="107"/>
      <c r="D45" s="173"/>
      <c r="E45" s="110" t="s">
        <v>66</v>
      </c>
      <c r="F45" s="108"/>
    </row>
    <row r="46" spans="1:6" ht="15.75">
      <c r="A46" s="79"/>
      <c r="B46" s="166" t="str">
        <f>"Économies de main d'œuvre sur "&amp;D10&amp;" m²"</f>
        <v>Économies de main d'œuvre sur 500 m²</v>
      </c>
      <c r="C46" s="74"/>
      <c r="D46" s="283">
        <f>D35*$D$10/100</f>
        <v>175.5</v>
      </c>
      <c r="E46" s="7" t="s">
        <v>43</v>
      </c>
      <c r="F46" s="112">
        <f>_xlfn.IFERROR(D43/D44," ")</f>
        <v>150</v>
      </c>
    </row>
    <row r="47" spans="2:6" ht="15.75">
      <c r="B47" s="176" t="s">
        <v>51</v>
      </c>
      <c r="C47" s="177"/>
      <c r="D47" s="174"/>
      <c r="E47" s="39" t="s">
        <v>44</v>
      </c>
      <c r="F47" s="112">
        <f>_xlfn.IFERROR((-PMT(F44/F43,D44*F43,D43))/D44," ")</f>
        <v>16.050461095687602</v>
      </c>
    </row>
    <row r="48" spans="2:6" ht="15.75">
      <c r="B48" s="185" t="s">
        <v>18</v>
      </c>
      <c r="C48" s="186"/>
      <c r="D48" s="187"/>
      <c r="E48" s="188" t="s">
        <v>46</v>
      </c>
      <c r="F48" s="187"/>
    </row>
    <row r="49" spans="2:6" ht="17.25" customHeight="1" thickBot="1">
      <c r="B49" s="89" t="s">
        <v>45</v>
      </c>
      <c r="C49" s="90"/>
      <c r="D49" s="92">
        <f>SUM(D46:D48)</f>
        <v>175.5</v>
      </c>
      <c r="E49" s="89" t="s">
        <v>12</v>
      </c>
      <c r="F49" s="92">
        <f>SUM(F46:F48)</f>
        <v>166.0504610956876</v>
      </c>
    </row>
    <row r="50" spans="2:6" ht="17.25" customHeight="1" thickBot="1">
      <c r="B50" s="494" t="s">
        <v>67</v>
      </c>
      <c r="C50" s="495"/>
      <c r="D50" s="495"/>
      <c r="E50" s="495"/>
      <c r="F50" s="158">
        <f>D49-F49</f>
        <v>9.44953890431239</v>
      </c>
    </row>
    <row r="51" spans="2:6" ht="3.75" customHeight="1" thickBot="1">
      <c r="B51" s="55"/>
      <c r="C51" s="6"/>
      <c r="D51" s="6"/>
      <c r="E51" s="6"/>
      <c r="F51" s="98"/>
    </row>
    <row r="52" spans="2:6" ht="17.25" customHeight="1" thickBot="1">
      <c r="B52" s="494" t="s">
        <v>68</v>
      </c>
      <c r="C52" s="495"/>
      <c r="D52" s="495"/>
      <c r="E52" s="495"/>
      <c r="F52" s="158">
        <f>_xlfn.IFERROR(F50*100/D10,)</f>
        <v>1.8899077808624782</v>
      </c>
    </row>
  </sheetData>
  <sheetProtection sheet="1"/>
  <mergeCells count="17">
    <mergeCell ref="B52:E52"/>
    <mergeCell ref="B40:F40"/>
    <mergeCell ref="B41:D41"/>
    <mergeCell ref="B42:F42"/>
    <mergeCell ref="B43:C43"/>
    <mergeCell ref="B44:C44"/>
    <mergeCell ref="B50:E50"/>
    <mergeCell ref="B2:F2"/>
    <mergeCell ref="B4:F4"/>
    <mergeCell ref="C6:F6"/>
    <mergeCell ref="B11:C11"/>
    <mergeCell ref="B37:E37"/>
    <mergeCell ref="B39:E39"/>
    <mergeCell ref="B38:E38"/>
    <mergeCell ref="D5:F5"/>
    <mergeCell ref="B8:C8"/>
    <mergeCell ref="B36:C36"/>
  </mergeCells>
  <conditionalFormatting sqref="F50 F52 F37 F39">
    <cfRule type="cellIs" priority="87" dxfId="1896" operator="lessThan" stopIfTrue="1">
      <formula>0</formula>
    </cfRule>
    <cfRule type="cellIs" priority="88" dxfId="1897" operator="greaterThan" stopIfTrue="1">
      <formula>0</formula>
    </cfRule>
  </conditionalFormatting>
  <conditionalFormatting sqref="F37 F39">
    <cfRule type="cellIs" priority="85" dxfId="1896" operator="lessThan" stopIfTrue="1">
      <formula>0</formula>
    </cfRule>
    <cfRule type="cellIs" priority="86" dxfId="1897" operator="greaterThan" stopIfTrue="1">
      <formula>0</formula>
    </cfRule>
  </conditionalFormatting>
  <conditionalFormatting sqref="F38">
    <cfRule type="cellIs" priority="83" dxfId="1896" operator="lessThan" stopIfTrue="1">
      <formula>0</formula>
    </cfRule>
    <cfRule type="cellIs" priority="84" dxfId="1897" operator="greaterThan" stopIfTrue="1">
      <formula>0</formula>
    </cfRule>
  </conditionalFormatting>
  <conditionalFormatting sqref="F38">
    <cfRule type="cellIs" priority="81" dxfId="1896" operator="lessThan" stopIfTrue="1">
      <formula>0</formula>
    </cfRule>
    <cfRule type="cellIs" priority="82" dxfId="1897" operator="greaterThan" stopIfTrue="1">
      <formula>0</formula>
    </cfRule>
  </conditionalFormatting>
  <conditionalFormatting sqref="F38">
    <cfRule type="cellIs" priority="79" dxfId="1896" operator="lessThan" stopIfTrue="1">
      <formula>0</formula>
    </cfRule>
    <cfRule type="cellIs" priority="80" dxfId="1897" operator="greaterThan" stopIfTrue="1">
      <formula>0</formula>
    </cfRule>
  </conditionalFormatting>
  <conditionalFormatting sqref="F38">
    <cfRule type="cellIs" priority="77" dxfId="1896" operator="lessThan" stopIfTrue="1">
      <formula>0</formula>
    </cfRule>
    <cfRule type="cellIs" priority="78" dxfId="1897" operator="greaterThan" stopIfTrue="1">
      <formula>0</formula>
    </cfRule>
  </conditionalFormatting>
  <conditionalFormatting sqref="F37 F39">
    <cfRule type="cellIs" priority="75" dxfId="1896" operator="lessThan" stopIfTrue="1">
      <formula>0</formula>
    </cfRule>
    <cfRule type="cellIs" priority="76" dxfId="1897" operator="greaterThan" stopIfTrue="1">
      <formula>0</formula>
    </cfRule>
  </conditionalFormatting>
  <conditionalFormatting sqref="F38">
    <cfRule type="cellIs" priority="73" dxfId="1896" operator="lessThan" stopIfTrue="1">
      <formula>0</formula>
    </cfRule>
    <cfRule type="cellIs" priority="74" dxfId="1897" operator="greaterThan" stopIfTrue="1">
      <formula>0</formula>
    </cfRule>
  </conditionalFormatting>
  <conditionalFormatting sqref="F38">
    <cfRule type="cellIs" priority="71" dxfId="1896" operator="lessThan" stopIfTrue="1">
      <formula>0</formula>
    </cfRule>
    <cfRule type="cellIs" priority="72" dxfId="1897" operator="greaterThan" stopIfTrue="1">
      <formula>0</formula>
    </cfRule>
  </conditionalFormatting>
  <conditionalFormatting sqref="F38">
    <cfRule type="cellIs" priority="69" dxfId="1896" operator="lessThan" stopIfTrue="1">
      <formula>0</formula>
    </cfRule>
    <cfRule type="cellIs" priority="70" dxfId="1897" operator="greaterThan" stopIfTrue="1">
      <formula>0</formula>
    </cfRule>
  </conditionalFormatting>
  <conditionalFormatting sqref="F38">
    <cfRule type="cellIs" priority="67" dxfId="1896" operator="lessThan" stopIfTrue="1">
      <formula>0</formula>
    </cfRule>
    <cfRule type="cellIs" priority="68" dxfId="1897" operator="greaterThan" stopIfTrue="1">
      <formula>0</formula>
    </cfRule>
  </conditionalFormatting>
  <conditionalFormatting sqref="F38">
    <cfRule type="cellIs" priority="65" dxfId="1896" operator="lessThan" stopIfTrue="1">
      <formula>0</formula>
    </cfRule>
    <cfRule type="cellIs" priority="66" dxfId="1897" operator="greaterThan" stopIfTrue="1">
      <formula>0</formula>
    </cfRule>
  </conditionalFormatting>
  <conditionalFormatting sqref="F38">
    <cfRule type="cellIs" priority="63" dxfId="1896" operator="lessThan" stopIfTrue="1">
      <formula>0</formula>
    </cfRule>
    <cfRule type="cellIs" priority="64" dxfId="1897" operator="greaterThan" stopIfTrue="1">
      <formula>0</formula>
    </cfRule>
  </conditionalFormatting>
  <conditionalFormatting sqref="F38">
    <cfRule type="cellIs" priority="61" dxfId="1896" operator="lessThan" stopIfTrue="1">
      <formula>0</formula>
    </cfRule>
    <cfRule type="cellIs" priority="62" dxfId="1897" operator="greaterThan" stopIfTrue="1">
      <formula>0</formula>
    </cfRule>
  </conditionalFormatting>
  <conditionalFormatting sqref="F38">
    <cfRule type="cellIs" priority="59" dxfId="1896" operator="lessThan" stopIfTrue="1">
      <formula>0</formula>
    </cfRule>
    <cfRule type="cellIs" priority="60" dxfId="1897" operator="greaterThan" stopIfTrue="1">
      <formula>0</formula>
    </cfRule>
  </conditionalFormatting>
  <conditionalFormatting sqref="F50 F52 F37 F39">
    <cfRule type="cellIs" priority="57" dxfId="1896" operator="lessThan" stopIfTrue="1">
      <formula>0</formula>
    </cfRule>
    <cfRule type="cellIs" priority="58" dxfId="1897" operator="greaterThan" stopIfTrue="1">
      <formula>0</formula>
    </cfRule>
  </conditionalFormatting>
  <conditionalFormatting sqref="F38">
    <cfRule type="cellIs" priority="55" dxfId="1896" operator="lessThan" stopIfTrue="1">
      <formula>0</formula>
    </cfRule>
    <cfRule type="cellIs" priority="56" dxfId="1897" operator="greaterThan" stopIfTrue="1">
      <formula>0</formula>
    </cfRule>
  </conditionalFormatting>
  <conditionalFormatting sqref="F38">
    <cfRule type="cellIs" priority="53" dxfId="1896" operator="lessThan" stopIfTrue="1">
      <formula>0</formula>
    </cfRule>
    <cfRule type="cellIs" priority="54" dxfId="1897" operator="greaterThan" stopIfTrue="1">
      <formula>0</formula>
    </cfRule>
  </conditionalFormatting>
  <conditionalFormatting sqref="F37 F39">
    <cfRule type="cellIs" priority="51" dxfId="1896" operator="lessThan" stopIfTrue="1">
      <formula>0</formula>
    </cfRule>
    <cfRule type="cellIs" priority="52" dxfId="1897" operator="greaterThan" stopIfTrue="1">
      <formula>0</formula>
    </cfRule>
  </conditionalFormatting>
  <conditionalFormatting sqref="F38">
    <cfRule type="cellIs" priority="49" dxfId="1896" operator="lessThan" stopIfTrue="1">
      <formula>0</formula>
    </cfRule>
    <cfRule type="cellIs" priority="50" dxfId="1897" operator="greaterThan" stopIfTrue="1">
      <formula>0</formula>
    </cfRule>
  </conditionalFormatting>
  <conditionalFormatting sqref="F38">
    <cfRule type="cellIs" priority="47" dxfId="1896" operator="lessThan" stopIfTrue="1">
      <formula>0</formula>
    </cfRule>
    <cfRule type="cellIs" priority="48" dxfId="1897" operator="greaterThan" stopIfTrue="1">
      <formula>0</formula>
    </cfRule>
  </conditionalFormatting>
  <conditionalFormatting sqref="F38">
    <cfRule type="cellIs" priority="45" dxfId="1896" operator="lessThan" stopIfTrue="1">
      <formula>0</formula>
    </cfRule>
    <cfRule type="cellIs" priority="46" dxfId="1897" operator="greaterThan" stopIfTrue="1">
      <formula>0</formula>
    </cfRule>
  </conditionalFormatting>
  <conditionalFormatting sqref="F38">
    <cfRule type="cellIs" priority="43" dxfId="1896" operator="lessThan" stopIfTrue="1">
      <formula>0</formula>
    </cfRule>
    <cfRule type="cellIs" priority="44" dxfId="1897" operator="greaterThan" stopIfTrue="1">
      <formula>0</formula>
    </cfRule>
  </conditionalFormatting>
  <conditionalFormatting sqref="F38">
    <cfRule type="cellIs" priority="41" dxfId="1896" operator="lessThan" stopIfTrue="1">
      <formula>0</formula>
    </cfRule>
    <cfRule type="cellIs" priority="42" dxfId="1897" operator="greaterThan" stopIfTrue="1">
      <formula>0</formula>
    </cfRule>
  </conditionalFormatting>
  <conditionalFormatting sqref="F38">
    <cfRule type="cellIs" priority="39" dxfId="1896" operator="lessThan" stopIfTrue="1">
      <formula>0</formula>
    </cfRule>
    <cfRule type="cellIs" priority="40" dxfId="1897" operator="greaterThan" stopIfTrue="1">
      <formula>0</formula>
    </cfRule>
  </conditionalFormatting>
  <conditionalFormatting sqref="F38">
    <cfRule type="cellIs" priority="37" dxfId="1896" operator="lessThan" stopIfTrue="1">
      <formula>0</formula>
    </cfRule>
    <cfRule type="cellIs" priority="38" dxfId="1897" operator="greaterThan" stopIfTrue="1">
      <formula>0</formula>
    </cfRule>
  </conditionalFormatting>
  <conditionalFormatting sqref="F38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50 F52 F37 F39">
    <cfRule type="cellIs" priority="33" dxfId="1896" operator="lessThan" stopIfTrue="1">
      <formula>0</formula>
    </cfRule>
    <cfRule type="cellIs" priority="34" dxfId="1897" operator="greaterThan" stopIfTrue="1">
      <formula>0</formula>
    </cfRule>
  </conditionalFormatting>
  <conditionalFormatting sqref="F38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8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7 F39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8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38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38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38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8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8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8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8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52 F37 F39 F5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8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8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8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8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5" r:id="rId1"/>
  <ignoredErrors>
    <ignoredError sqref="D9 D1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52"/>
  <sheetViews>
    <sheetView showZeros="0" zoomScale="90" zoomScaleNormal="90" zoomScalePageLayoutView="0" workbookViewId="0" topLeftCell="A6">
      <selection activeCell="F27" sqref="F27"/>
    </sheetView>
  </sheetViews>
  <sheetFormatPr defaultColWidth="11.421875" defaultRowHeight="15"/>
  <cols>
    <col min="1" max="1" width="2.7109375" style="0" customWidth="1"/>
    <col min="2" max="2" width="42.140625" style="0" customWidth="1"/>
    <col min="3" max="3" width="10.8515625" style="0" customWidth="1"/>
    <col min="4" max="4" width="14.7109375" style="0" customWidth="1"/>
    <col min="5" max="5" width="39.8515625" style="0" customWidth="1"/>
    <col min="6" max="6" width="14.8515625" style="0" customWidth="1"/>
    <col min="7" max="7" width="3.28125" style="0" customWidth="1"/>
    <col min="8" max="8" width="8.57421875" style="0" customWidth="1"/>
  </cols>
  <sheetData>
    <row r="1" ht="7.5" customHeight="1" thickBot="1"/>
    <row r="2" spans="2:6" ht="26.25">
      <c r="B2" s="467" t="s">
        <v>71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70" t="str">
        <f>'11'!B4:F4</f>
        <v>Tomates beefsteak (classement et emballage)</v>
      </c>
      <c r="C4" s="471"/>
      <c r="D4" s="471"/>
      <c r="E4" s="471"/>
      <c r="F4" s="472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159</v>
      </c>
      <c r="D6" s="473"/>
      <c r="E6" s="473"/>
      <c r="F6" s="499"/>
    </row>
    <row r="7" spans="2:6" ht="15.75" thickBot="1">
      <c r="B7" s="47"/>
      <c r="C7" s="1"/>
      <c r="D7" s="23"/>
      <c r="E7" s="1"/>
      <c r="F7" s="48"/>
    </row>
    <row r="8" spans="2:6" ht="15">
      <c r="B8" s="509" t="s">
        <v>131</v>
      </c>
      <c r="C8" s="510"/>
      <c r="D8" s="337">
        <f>'11'!$D$8</f>
        <v>0.7</v>
      </c>
      <c r="E8" s="338" t="s">
        <v>77</v>
      </c>
      <c r="F8" s="190">
        <f>D10*D11/1000</f>
        <v>22.5</v>
      </c>
    </row>
    <row r="9" spans="2:6" ht="15">
      <c r="B9" s="86" t="s">
        <v>150</v>
      </c>
      <c r="C9" s="160"/>
      <c r="D9" s="449">
        <f>'11'!D9</f>
        <v>13</v>
      </c>
      <c r="E9" s="339" t="s">
        <v>53</v>
      </c>
      <c r="F9" s="168">
        <v>10000</v>
      </c>
    </row>
    <row r="10" spans="2:6" ht="15">
      <c r="B10" s="86" t="s">
        <v>39</v>
      </c>
      <c r="C10" s="159"/>
      <c r="D10" s="341">
        <f>1!D8</f>
        <v>500</v>
      </c>
      <c r="E10" s="83" t="s">
        <v>34</v>
      </c>
      <c r="F10" s="169">
        <v>10</v>
      </c>
    </row>
    <row r="11" spans="2:6" ht="15.75" customHeight="1" thickBot="1">
      <c r="B11" s="501" t="s">
        <v>141</v>
      </c>
      <c r="C11" s="502"/>
      <c r="D11" s="450">
        <f>'11'!D11</f>
        <v>45</v>
      </c>
      <c r="E11" s="161" t="s">
        <v>42</v>
      </c>
      <c r="F11" s="263">
        <f>1!F9</f>
        <v>0.05</v>
      </c>
    </row>
    <row r="12" spans="2:6" ht="16.5" customHeight="1">
      <c r="B12" s="51" t="s">
        <v>9</v>
      </c>
      <c r="C12" s="73"/>
      <c r="D12" s="17" t="s">
        <v>7</v>
      </c>
      <c r="E12" s="87" t="s">
        <v>22</v>
      </c>
      <c r="F12" s="88" t="s">
        <v>8</v>
      </c>
    </row>
    <row r="13" spans="2:6" ht="15.75">
      <c r="B13" s="183" t="s">
        <v>18</v>
      </c>
      <c r="C13" s="177"/>
      <c r="D13" s="178"/>
      <c r="E13" s="322" t="s">
        <v>18</v>
      </c>
      <c r="F13" s="178"/>
    </row>
    <row r="14" spans="2:6" ht="15.75">
      <c r="B14" s="325" t="s">
        <v>18</v>
      </c>
      <c r="C14" s="177"/>
      <c r="D14" s="180"/>
      <c r="E14" s="323"/>
      <c r="F14" s="180"/>
    </row>
    <row r="15" spans="2:6" ht="16.5" thickBot="1">
      <c r="B15" s="89" t="s">
        <v>1</v>
      </c>
      <c r="C15" s="90"/>
      <c r="D15" s="114">
        <f>SUM(D13:D14)</f>
        <v>0</v>
      </c>
      <c r="E15" s="91" t="s">
        <v>2</v>
      </c>
      <c r="F15" s="114">
        <f>SUM(F13:F14)</f>
        <v>0</v>
      </c>
    </row>
    <row r="16" spans="2:6" ht="3.75" customHeight="1" thickBot="1">
      <c r="B16" s="57"/>
      <c r="C16" s="9"/>
      <c r="D16" s="8"/>
      <c r="E16" s="9"/>
      <c r="F16" s="10"/>
    </row>
    <row r="17" spans="2:6" ht="16.5" customHeight="1" hidden="1" thickBot="1">
      <c r="B17" s="53" t="s">
        <v>18</v>
      </c>
      <c r="C17" s="75"/>
      <c r="D17" s="2"/>
      <c r="E17" s="5"/>
      <c r="F17" s="4"/>
    </row>
    <row r="18" spans="2:6" ht="15.75" customHeight="1" hidden="1" thickBot="1">
      <c r="B18" s="54"/>
      <c r="C18" s="5"/>
      <c r="D18" s="2"/>
      <c r="E18" s="5"/>
      <c r="F18" s="4"/>
    </row>
    <row r="19" spans="2:6" ht="15.75" customHeight="1" hidden="1" thickBot="1">
      <c r="B19" s="54"/>
      <c r="C19" s="5"/>
      <c r="D19" s="2"/>
      <c r="E19" s="5"/>
      <c r="F19" s="4"/>
    </row>
    <row r="20" spans="2:6" ht="15.75" customHeight="1" hidden="1" thickBot="1">
      <c r="B20" s="54"/>
      <c r="C20" s="5"/>
      <c r="D20" s="2"/>
      <c r="E20" s="5"/>
      <c r="F20" s="4"/>
    </row>
    <row r="21" spans="2:6" ht="15.75" customHeight="1" hidden="1" thickBot="1">
      <c r="B21" s="55"/>
      <c r="C21" s="6"/>
      <c r="D21" s="2"/>
      <c r="E21" s="6"/>
      <c r="F21" s="4"/>
    </row>
    <row r="22" spans="2:5" ht="16.5" customHeight="1" hidden="1" thickBot="1">
      <c r="B22" s="56"/>
      <c r="C22" s="38"/>
      <c r="E22" s="38"/>
    </row>
    <row r="23" spans="2:6" ht="15.75" customHeight="1" hidden="1" thickBot="1">
      <c r="B23" s="57"/>
      <c r="C23" s="9"/>
      <c r="D23" s="8"/>
      <c r="E23" s="9"/>
      <c r="F23" s="10"/>
    </row>
    <row r="24" spans="2:6" ht="15.75">
      <c r="B24" s="58" t="s">
        <v>3</v>
      </c>
      <c r="C24" s="76"/>
      <c r="D24" s="15"/>
      <c r="E24" s="162" t="s">
        <v>23</v>
      </c>
      <c r="F24" s="16"/>
    </row>
    <row r="25" spans="2:6" ht="15">
      <c r="B25" s="54"/>
      <c r="C25" s="327" t="s">
        <v>135</v>
      </c>
      <c r="D25" s="326" t="s">
        <v>133</v>
      </c>
      <c r="E25" s="20" t="s">
        <v>18</v>
      </c>
      <c r="F25" s="326" t="s">
        <v>38</v>
      </c>
    </row>
    <row r="26" spans="2:6" ht="15">
      <c r="B26" s="72" t="s">
        <v>24</v>
      </c>
      <c r="C26" s="77"/>
      <c r="D26" s="27"/>
      <c r="E26" s="170" t="s">
        <v>18</v>
      </c>
      <c r="F26" s="172"/>
    </row>
    <row r="27" spans="2:6" ht="15">
      <c r="B27" s="183" t="s">
        <v>93</v>
      </c>
      <c r="C27" s="304">
        <v>7.2</v>
      </c>
      <c r="D27" s="307">
        <f aca="true" t="shared" si="0" ref="D27:D32">C27*$D$9</f>
        <v>93.60000000000001</v>
      </c>
      <c r="E27" s="451" t="s">
        <v>94</v>
      </c>
      <c r="F27" s="184">
        <f>1*D11*100/100</f>
        <v>45</v>
      </c>
    </row>
    <row r="28" spans="2:6" ht="15">
      <c r="B28" s="183"/>
      <c r="C28" s="304"/>
      <c r="D28" s="307">
        <f t="shared" si="0"/>
        <v>0</v>
      </c>
      <c r="E28" s="171" t="s">
        <v>28</v>
      </c>
      <c r="F28" s="307">
        <f>_xlfn.IFERROR(F9/F10*100/D10,0)</f>
        <v>200</v>
      </c>
    </row>
    <row r="29" spans="2:6" ht="15">
      <c r="B29" s="182"/>
      <c r="C29" s="304"/>
      <c r="D29" s="307">
        <f t="shared" si="0"/>
        <v>0</v>
      </c>
      <c r="E29" s="171" t="s">
        <v>52</v>
      </c>
      <c r="F29" s="307">
        <f>_xlfn.IFERROR((((-(PMT($F$11/1,$F$10*1,$F$9)))*$F$10*1-$F$9))/$F$10*100/$D$10,0)</f>
        <v>59.00914993091334</v>
      </c>
    </row>
    <row r="30" spans="2:6" ht="15" customHeight="1" hidden="1">
      <c r="B30" s="54"/>
      <c r="C30" s="318"/>
      <c r="D30" s="115">
        <f t="shared" si="0"/>
        <v>0</v>
      </c>
      <c r="E30" s="163" t="s">
        <v>18</v>
      </c>
      <c r="F30" s="99"/>
    </row>
    <row r="31" spans="2:6" ht="15" customHeight="1" hidden="1">
      <c r="B31" s="54"/>
      <c r="C31" s="319"/>
      <c r="D31" s="307">
        <f t="shared" si="0"/>
        <v>0</v>
      </c>
      <c r="E31" s="163"/>
      <c r="F31" s="99"/>
    </row>
    <row r="32" spans="2:6" ht="15" customHeight="1" hidden="1">
      <c r="B32" s="54"/>
      <c r="C32" s="319"/>
      <c r="D32" s="307">
        <f t="shared" si="0"/>
        <v>0</v>
      </c>
      <c r="E32" s="163" t="s">
        <v>18</v>
      </c>
      <c r="F32" s="99"/>
    </row>
    <row r="33" spans="1:6" ht="16.5" thickBot="1">
      <c r="A33" s="79"/>
      <c r="B33" s="89" t="s">
        <v>5</v>
      </c>
      <c r="C33" s="320">
        <f>SUM(C27:C32)</f>
        <v>7.2</v>
      </c>
      <c r="D33" s="116">
        <f>SUM(D25:D32)</f>
        <v>93.60000000000001</v>
      </c>
      <c r="E33" s="164" t="s">
        <v>6</v>
      </c>
      <c r="F33" s="116">
        <f>SUM(F25:F32)</f>
        <v>304.00914993091334</v>
      </c>
    </row>
    <row r="34" spans="2:6" ht="6" customHeight="1">
      <c r="B34" s="55"/>
      <c r="C34" s="321"/>
      <c r="D34" s="27"/>
      <c r="E34" s="14"/>
      <c r="F34" s="30"/>
    </row>
    <row r="35" spans="1:6" ht="16.5" customHeight="1" thickBot="1">
      <c r="A35" s="79"/>
      <c r="B35" s="93" t="s">
        <v>40</v>
      </c>
      <c r="C35" s="94"/>
      <c r="D35" s="95">
        <f>D15+D33</f>
        <v>93.60000000000001</v>
      </c>
      <c r="E35" s="94" t="s">
        <v>41</v>
      </c>
      <c r="F35" s="95">
        <f>F15+F33</f>
        <v>304.00914993091334</v>
      </c>
    </row>
    <row r="36" spans="1:6" ht="29.25" customHeight="1" thickBot="1">
      <c r="A36" s="79"/>
      <c r="B36" s="483" t="s">
        <v>158</v>
      </c>
      <c r="C36" s="484"/>
      <c r="D36" s="314">
        <f>D33-D33/(1+(1-$D$8))</f>
        <v>21.60000000000001</v>
      </c>
      <c r="E36" s="96"/>
      <c r="F36" s="97"/>
    </row>
    <row r="37" spans="1:6" ht="16.5" customHeight="1">
      <c r="A37" s="79"/>
      <c r="B37" s="503" t="s">
        <v>64</v>
      </c>
      <c r="C37" s="504"/>
      <c r="D37" s="504"/>
      <c r="E37" s="505"/>
      <c r="F37" s="295">
        <f>D35-F35</f>
        <v>-210.40914993091332</v>
      </c>
    </row>
    <row r="38" spans="1:6" ht="16.5" customHeight="1">
      <c r="A38" s="79"/>
      <c r="B38" s="512" t="s">
        <v>115</v>
      </c>
      <c r="C38" s="513"/>
      <c r="D38" s="513"/>
      <c r="E38" s="514"/>
      <c r="F38" s="297">
        <f>_xlfn.IFERROR(IF((F37+F28+F29)&lt;0.005,"N/A",F9/D10*100/(F37+F29+F28))," ")</f>
        <v>41.15226337448558</v>
      </c>
    </row>
    <row r="39" spans="2:6" ht="16.5" thickBot="1">
      <c r="B39" s="506" t="s">
        <v>116</v>
      </c>
      <c r="C39" s="507"/>
      <c r="D39" s="507"/>
      <c r="E39" s="508"/>
      <c r="F39" s="296">
        <f>_xlfn.IFERROR(F37/$D$11," ")</f>
        <v>-4.675758887353629</v>
      </c>
    </row>
    <row r="40" spans="1:6" s="45" customFormat="1" ht="44.25" customHeight="1">
      <c r="A40" s="100"/>
      <c r="B40" s="477" t="s">
        <v>134</v>
      </c>
      <c r="C40" s="477"/>
      <c r="D40" s="477"/>
      <c r="E40" s="477"/>
      <c r="F40" s="477"/>
    </row>
    <row r="41" spans="1:6" s="45" customFormat="1" ht="19.5" customHeight="1">
      <c r="A41" s="100"/>
      <c r="B41" s="478" t="s">
        <v>73</v>
      </c>
      <c r="C41" s="478"/>
      <c r="D41" s="478"/>
      <c r="E41" s="14"/>
      <c r="F41" s="101"/>
    </row>
    <row r="42" spans="1:6" s="45" customFormat="1" ht="22.5" customHeight="1" thickBot="1">
      <c r="A42" s="100"/>
      <c r="B42" s="487" t="str">
        <f>"Flux annuel moyen de trésorerie durant la période de l'emprunt. ("&amp;D10&amp;" m²)"</f>
        <v>Flux annuel moyen de trésorerie durant la période de l'emprunt. (500 m²)</v>
      </c>
      <c r="C42" s="487"/>
      <c r="D42" s="487"/>
      <c r="E42" s="487"/>
      <c r="F42" s="487"/>
    </row>
    <row r="43" spans="1:9" s="45" customFormat="1" ht="15.75" customHeight="1">
      <c r="A43" s="100"/>
      <c r="B43" s="488" t="str">
        <f>"Montant de l'emprunt  "&amp;H43*100&amp;" % de l'investissement"</f>
        <v>Montant de l'emprunt  75 % de l'investissement</v>
      </c>
      <c r="C43" s="489"/>
      <c r="D43" s="274">
        <f>H43*F9</f>
        <v>7500</v>
      </c>
      <c r="E43" s="264" t="s">
        <v>54</v>
      </c>
      <c r="F43" s="265">
        <v>4</v>
      </c>
      <c r="H43" s="268">
        <v>0.75</v>
      </c>
      <c r="I43" s="269" t="s">
        <v>99</v>
      </c>
    </row>
    <row r="44" spans="1:9" s="45" customFormat="1" ht="15.75" customHeight="1" thickBot="1">
      <c r="A44" s="100"/>
      <c r="B44" s="490" t="str">
        <f>"Durée de l'emprunt  "&amp;H44*100&amp;" % de l'amortissement"</f>
        <v>Durée de l'emprunt  50 % de l'amortissement</v>
      </c>
      <c r="C44" s="491"/>
      <c r="D44" s="275">
        <f>F10*H44</f>
        <v>5</v>
      </c>
      <c r="E44" s="266" t="s">
        <v>55</v>
      </c>
      <c r="F44" s="267">
        <v>0.05</v>
      </c>
      <c r="H44" s="268">
        <v>0.5</v>
      </c>
      <c r="I44" s="269" t="s">
        <v>117</v>
      </c>
    </row>
    <row r="45" spans="1:6" s="85" customFormat="1" ht="15.75">
      <c r="A45" s="79"/>
      <c r="B45" s="109" t="s">
        <v>65</v>
      </c>
      <c r="C45" s="107"/>
      <c r="D45" s="173"/>
      <c r="E45" s="110" t="s">
        <v>66</v>
      </c>
      <c r="F45" s="108"/>
    </row>
    <row r="46" spans="1:6" ht="15.75">
      <c r="A46" s="79"/>
      <c r="B46" s="166" t="str">
        <f>"Économies de main d'œuvre sur "&amp;D10&amp;" m²"</f>
        <v>Économies de main d'œuvre sur 500 m²</v>
      </c>
      <c r="C46" s="74"/>
      <c r="D46" s="283">
        <f>D35*$D$10/100</f>
        <v>468.00000000000006</v>
      </c>
      <c r="E46" s="7" t="s">
        <v>43</v>
      </c>
      <c r="F46" s="112">
        <f>_xlfn.IFERROR(D43/D44," ")</f>
        <v>1500</v>
      </c>
    </row>
    <row r="47" spans="2:6" ht="15.75">
      <c r="B47" s="176" t="s">
        <v>51</v>
      </c>
      <c r="C47" s="177"/>
      <c r="D47" s="174"/>
      <c r="E47" s="39" t="s">
        <v>44</v>
      </c>
      <c r="F47" s="112">
        <f>_xlfn.IFERROR((-PMT(F44/F43,D44*F43,D43))/D44," ")</f>
        <v>85.23058444770659</v>
      </c>
    </row>
    <row r="48" spans="2:6" ht="15.75">
      <c r="B48" s="185" t="s">
        <v>18</v>
      </c>
      <c r="C48" s="186"/>
      <c r="D48" s="187"/>
      <c r="E48" s="188" t="s">
        <v>46</v>
      </c>
      <c r="F48" s="187"/>
    </row>
    <row r="49" spans="2:6" ht="17.25" customHeight="1" thickBot="1">
      <c r="B49" s="89" t="s">
        <v>45</v>
      </c>
      <c r="C49" s="90"/>
      <c r="D49" s="92">
        <f>SUM(D46:D48)</f>
        <v>468.00000000000006</v>
      </c>
      <c r="E49" s="89" t="s">
        <v>12</v>
      </c>
      <c r="F49" s="92">
        <f>SUM(F46:F48)</f>
        <v>1585.2305844477066</v>
      </c>
    </row>
    <row r="50" spans="2:6" ht="17.25" customHeight="1" thickBot="1">
      <c r="B50" s="494" t="s">
        <v>67</v>
      </c>
      <c r="C50" s="495"/>
      <c r="D50" s="495"/>
      <c r="E50" s="495"/>
      <c r="F50" s="158">
        <f>D49-F49</f>
        <v>-1117.2305844477066</v>
      </c>
    </row>
    <row r="51" spans="2:6" ht="3.75" customHeight="1" thickBot="1">
      <c r="B51" s="55"/>
      <c r="C51" s="6"/>
      <c r="D51" s="6"/>
      <c r="E51" s="6"/>
      <c r="F51" s="98"/>
    </row>
    <row r="52" spans="2:6" ht="17.25" customHeight="1" thickBot="1">
      <c r="B52" s="494" t="s">
        <v>68</v>
      </c>
      <c r="C52" s="495"/>
      <c r="D52" s="495"/>
      <c r="E52" s="495"/>
      <c r="F52" s="158">
        <f>_xlfn.IFERROR(F50*100/D10,)</f>
        <v>-223.44611688954132</v>
      </c>
    </row>
  </sheetData>
  <sheetProtection/>
  <mergeCells count="17">
    <mergeCell ref="B52:E52"/>
    <mergeCell ref="B40:F40"/>
    <mergeCell ref="B41:D41"/>
    <mergeCell ref="B42:F42"/>
    <mergeCell ref="B43:C43"/>
    <mergeCell ref="B44:C44"/>
    <mergeCell ref="B50:E50"/>
    <mergeCell ref="B2:F2"/>
    <mergeCell ref="B4:F4"/>
    <mergeCell ref="C6:F6"/>
    <mergeCell ref="B11:C11"/>
    <mergeCell ref="B37:E37"/>
    <mergeCell ref="B39:E39"/>
    <mergeCell ref="B38:E38"/>
    <mergeCell ref="D5:F5"/>
    <mergeCell ref="B8:C8"/>
    <mergeCell ref="B36:C36"/>
  </mergeCells>
  <conditionalFormatting sqref="F50 F52 F37 F39">
    <cfRule type="cellIs" priority="171" dxfId="1896" operator="lessThan" stopIfTrue="1">
      <formula>0</formula>
    </cfRule>
    <cfRule type="cellIs" priority="172" dxfId="1897" operator="greaterThan" stopIfTrue="1">
      <formula>0</formula>
    </cfRule>
  </conditionalFormatting>
  <conditionalFormatting sqref="F37 F39">
    <cfRule type="cellIs" priority="169" dxfId="1896" operator="lessThan" stopIfTrue="1">
      <formula>0</formula>
    </cfRule>
    <cfRule type="cellIs" priority="170" dxfId="1897" operator="greaterThan" stopIfTrue="1">
      <formula>0</formula>
    </cfRule>
  </conditionalFormatting>
  <conditionalFormatting sqref="F38">
    <cfRule type="cellIs" priority="167" dxfId="1896" operator="lessThan" stopIfTrue="1">
      <formula>0</formula>
    </cfRule>
    <cfRule type="cellIs" priority="168" dxfId="1897" operator="greaterThan" stopIfTrue="1">
      <formula>0</formula>
    </cfRule>
  </conditionalFormatting>
  <conditionalFormatting sqref="F38">
    <cfRule type="cellIs" priority="165" dxfId="1896" operator="lessThan" stopIfTrue="1">
      <formula>0</formula>
    </cfRule>
    <cfRule type="cellIs" priority="166" dxfId="1897" operator="greaterThan" stopIfTrue="1">
      <formula>0</formula>
    </cfRule>
  </conditionalFormatting>
  <conditionalFormatting sqref="F38">
    <cfRule type="cellIs" priority="163" dxfId="1896" operator="lessThan" stopIfTrue="1">
      <formula>0</formula>
    </cfRule>
    <cfRule type="cellIs" priority="164" dxfId="1897" operator="greaterThan" stopIfTrue="1">
      <formula>0</formula>
    </cfRule>
  </conditionalFormatting>
  <conditionalFormatting sqref="F38">
    <cfRule type="cellIs" priority="161" dxfId="1896" operator="lessThan" stopIfTrue="1">
      <formula>0</formula>
    </cfRule>
    <cfRule type="cellIs" priority="162" dxfId="1897" operator="greaterThan" stopIfTrue="1">
      <formula>0</formula>
    </cfRule>
  </conditionalFormatting>
  <conditionalFormatting sqref="F37 F39">
    <cfRule type="cellIs" priority="159" dxfId="1896" operator="lessThan" stopIfTrue="1">
      <formula>0</formula>
    </cfRule>
    <cfRule type="cellIs" priority="160" dxfId="1897" operator="greaterThan" stopIfTrue="1">
      <formula>0</formula>
    </cfRule>
  </conditionalFormatting>
  <conditionalFormatting sqref="F38">
    <cfRule type="cellIs" priority="157" dxfId="1896" operator="lessThan" stopIfTrue="1">
      <formula>0</formula>
    </cfRule>
    <cfRule type="cellIs" priority="158" dxfId="1897" operator="greaterThan" stopIfTrue="1">
      <formula>0</formula>
    </cfRule>
  </conditionalFormatting>
  <conditionalFormatting sqref="F38">
    <cfRule type="cellIs" priority="155" dxfId="1896" operator="lessThan" stopIfTrue="1">
      <formula>0</formula>
    </cfRule>
    <cfRule type="cellIs" priority="156" dxfId="1897" operator="greaterThan" stopIfTrue="1">
      <formula>0</formula>
    </cfRule>
  </conditionalFormatting>
  <conditionalFormatting sqref="F38">
    <cfRule type="cellIs" priority="153" dxfId="1896" operator="lessThan" stopIfTrue="1">
      <formula>0</formula>
    </cfRule>
    <cfRule type="cellIs" priority="154" dxfId="1897" operator="greaterThan" stopIfTrue="1">
      <formula>0</formula>
    </cfRule>
  </conditionalFormatting>
  <conditionalFormatting sqref="F38">
    <cfRule type="cellIs" priority="151" dxfId="1896" operator="lessThan" stopIfTrue="1">
      <formula>0</formula>
    </cfRule>
    <cfRule type="cellIs" priority="152" dxfId="1897" operator="greaterThan" stopIfTrue="1">
      <formula>0</formula>
    </cfRule>
  </conditionalFormatting>
  <conditionalFormatting sqref="F38">
    <cfRule type="cellIs" priority="149" dxfId="1896" operator="lessThan" stopIfTrue="1">
      <formula>0</formula>
    </cfRule>
    <cfRule type="cellIs" priority="150" dxfId="1897" operator="greaterThan" stopIfTrue="1">
      <formula>0</formula>
    </cfRule>
  </conditionalFormatting>
  <conditionalFormatting sqref="F38">
    <cfRule type="cellIs" priority="147" dxfId="1896" operator="lessThan" stopIfTrue="1">
      <formula>0</formula>
    </cfRule>
    <cfRule type="cellIs" priority="148" dxfId="1897" operator="greaterThan" stopIfTrue="1">
      <formula>0</formula>
    </cfRule>
  </conditionalFormatting>
  <conditionalFormatting sqref="F38">
    <cfRule type="cellIs" priority="145" dxfId="1896" operator="lessThan" stopIfTrue="1">
      <formula>0</formula>
    </cfRule>
    <cfRule type="cellIs" priority="146" dxfId="1897" operator="greaterThan" stopIfTrue="1">
      <formula>0</formula>
    </cfRule>
  </conditionalFormatting>
  <conditionalFormatting sqref="F38">
    <cfRule type="cellIs" priority="143" dxfId="1896" operator="lessThan" stopIfTrue="1">
      <formula>0</formula>
    </cfRule>
    <cfRule type="cellIs" priority="144" dxfId="1897" operator="greaterThan" stopIfTrue="1">
      <formula>0</formula>
    </cfRule>
  </conditionalFormatting>
  <conditionalFormatting sqref="F50 F52 F37 F39">
    <cfRule type="cellIs" priority="141" dxfId="1896" operator="lessThan" stopIfTrue="1">
      <formula>0</formula>
    </cfRule>
    <cfRule type="cellIs" priority="142" dxfId="1897" operator="greaterThan" stopIfTrue="1">
      <formula>0</formula>
    </cfRule>
  </conditionalFormatting>
  <conditionalFormatting sqref="F37 F39">
    <cfRule type="cellIs" priority="139" dxfId="1896" operator="lessThan" stopIfTrue="1">
      <formula>0</formula>
    </cfRule>
    <cfRule type="cellIs" priority="140" dxfId="1897" operator="greaterThan" stopIfTrue="1">
      <formula>0</formula>
    </cfRule>
  </conditionalFormatting>
  <conditionalFormatting sqref="F38">
    <cfRule type="cellIs" priority="137" dxfId="1896" operator="lessThan" stopIfTrue="1">
      <formula>0</formula>
    </cfRule>
    <cfRule type="cellIs" priority="138" dxfId="1897" operator="greaterThan" stopIfTrue="1">
      <formula>0</formula>
    </cfRule>
  </conditionalFormatting>
  <conditionalFormatting sqref="F38">
    <cfRule type="cellIs" priority="135" dxfId="1896" operator="lessThan" stopIfTrue="1">
      <formula>0</formula>
    </cfRule>
    <cfRule type="cellIs" priority="136" dxfId="1897" operator="greaterThan" stopIfTrue="1">
      <formula>0</formula>
    </cfRule>
  </conditionalFormatting>
  <conditionalFormatting sqref="F38">
    <cfRule type="cellIs" priority="133" dxfId="1896" operator="lessThan" stopIfTrue="1">
      <formula>0</formula>
    </cfRule>
    <cfRule type="cellIs" priority="134" dxfId="1897" operator="greaterThan" stopIfTrue="1">
      <formula>0</formula>
    </cfRule>
  </conditionalFormatting>
  <conditionalFormatting sqref="F38">
    <cfRule type="cellIs" priority="131" dxfId="1896" operator="lessThan" stopIfTrue="1">
      <formula>0</formula>
    </cfRule>
    <cfRule type="cellIs" priority="132" dxfId="1897" operator="greaterThan" stopIfTrue="1">
      <formula>0</formula>
    </cfRule>
  </conditionalFormatting>
  <conditionalFormatting sqref="F37 F39">
    <cfRule type="cellIs" priority="129" dxfId="1896" operator="lessThan" stopIfTrue="1">
      <formula>0</formula>
    </cfRule>
    <cfRule type="cellIs" priority="130" dxfId="1897" operator="greaterThan" stopIfTrue="1">
      <formula>0</formula>
    </cfRule>
  </conditionalFormatting>
  <conditionalFormatting sqref="F38">
    <cfRule type="cellIs" priority="127" dxfId="1896" operator="lessThan" stopIfTrue="1">
      <formula>0</formula>
    </cfRule>
    <cfRule type="cellIs" priority="128" dxfId="1897" operator="greaterThan" stopIfTrue="1">
      <formula>0</formula>
    </cfRule>
  </conditionalFormatting>
  <conditionalFormatting sqref="F38">
    <cfRule type="cellIs" priority="125" dxfId="1896" operator="lessThan" stopIfTrue="1">
      <formula>0</formula>
    </cfRule>
    <cfRule type="cellIs" priority="126" dxfId="1897" operator="greaterThan" stopIfTrue="1">
      <formula>0</formula>
    </cfRule>
  </conditionalFormatting>
  <conditionalFormatting sqref="F38">
    <cfRule type="cellIs" priority="123" dxfId="1896" operator="lessThan" stopIfTrue="1">
      <formula>0</formula>
    </cfRule>
    <cfRule type="cellIs" priority="124" dxfId="1897" operator="greaterThan" stopIfTrue="1">
      <formula>0</formula>
    </cfRule>
  </conditionalFormatting>
  <conditionalFormatting sqref="F38">
    <cfRule type="cellIs" priority="121" dxfId="1896" operator="lessThan" stopIfTrue="1">
      <formula>0</formula>
    </cfRule>
    <cfRule type="cellIs" priority="122" dxfId="1897" operator="greaterThan" stopIfTrue="1">
      <formula>0</formula>
    </cfRule>
  </conditionalFormatting>
  <conditionalFormatting sqref="F38">
    <cfRule type="cellIs" priority="119" dxfId="1896" operator="lessThan" stopIfTrue="1">
      <formula>0</formula>
    </cfRule>
    <cfRule type="cellIs" priority="120" dxfId="1897" operator="greaterThan" stopIfTrue="1">
      <formula>0</formula>
    </cfRule>
  </conditionalFormatting>
  <conditionalFormatting sqref="F38">
    <cfRule type="cellIs" priority="117" dxfId="1896" operator="lessThan" stopIfTrue="1">
      <formula>0</formula>
    </cfRule>
    <cfRule type="cellIs" priority="118" dxfId="1897" operator="greaterThan" stopIfTrue="1">
      <formula>0</formula>
    </cfRule>
  </conditionalFormatting>
  <conditionalFormatting sqref="F38">
    <cfRule type="cellIs" priority="115" dxfId="1896" operator="lessThan" stopIfTrue="1">
      <formula>0</formula>
    </cfRule>
    <cfRule type="cellIs" priority="116" dxfId="1897" operator="greaterThan" stopIfTrue="1">
      <formula>0</formula>
    </cfRule>
  </conditionalFormatting>
  <conditionalFormatting sqref="F38">
    <cfRule type="cellIs" priority="113" dxfId="1896" operator="lessThan" stopIfTrue="1">
      <formula>0</formula>
    </cfRule>
    <cfRule type="cellIs" priority="114" dxfId="1897" operator="greaterThan" stopIfTrue="1">
      <formula>0</formula>
    </cfRule>
  </conditionalFormatting>
  <conditionalFormatting sqref="F50 F52 F37 F39">
    <cfRule type="cellIs" priority="111" dxfId="1896" operator="lessThan" stopIfTrue="1">
      <formula>0</formula>
    </cfRule>
    <cfRule type="cellIs" priority="112" dxfId="1897" operator="greaterThan" stopIfTrue="1">
      <formula>0</formula>
    </cfRule>
  </conditionalFormatting>
  <conditionalFormatting sqref="F38">
    <cfRule type="cellIs" priority="109" dxfId="1896" operator="lessThan" stopIfTrue="1">
      <formula>0</formula>
    </cfRule>
    <cfRule type="cellIs" priority="110" dxfId="1897" operator="greaterThan" stopIfTrue="1">
      <formula>0</formula>
    </cfRule>
  </conditionalFormatting>
  <conditionalFormatting sqref="F38">
    <cfRule type="cellIs" priority="107" dxfId="1896" operator="lessThan" stopIfTrue="1">
      <formula>0</formula>
    </cfRule>
    <cfRule type="cellIs" priority="108" dxfId="1897" operator="greaterThan" stopIfTrue="1">
      <formula>0</formula>
    </cfRule>
  </conditionalFormatting>
  <conditionalFormatting sqref="F37 F39">
    <cfRule type="cellIs" priority="105" dxfId="1896" operator="lessThan" stopIfTrue="1">
      <formula>0</formula>
    </cfRule>
    <cfRule type="cellIs" priority="106" dxfId="1897" operator="greaterThan" stopIfTrue="1">
      <formula>0</formula>
    </cfRule>
  </conditionalFormatting>
  <conditionalFormatting sqref="F38">
    <cfRule type="cellIs" priority="103" dxfId="1896" operator="lessThan" stopIfTrue="1">
      <formula>0</formula>
    </cfRule>
    <cfRule type="cellIs" priority="104" dxfId="1897" operator="greaterThan" stopIfTrue="1">
      <formula>0</formula>
    </cfRule>
  </conditionalFormatting>
  <conditionalFormatting sqref="F38">
    <cfRule type="cellIs" priority="101" dxfId="1896" operator="lessThan" stopIfTrue="1">
      <formula>0</formula>
    </cfRule>
    <cfRule type="cellIs" priority="102" dxfId="1897" operator="greaterThan" stopIfTrue="1">
      <formula>0</formula>
    </cfRule>
  </conditionalFormatting>
  <conditionalFormatting sqref="F38">
    <cfRule type="cellIs" priority="99" dxfId="1896" operator="lessThan" stopIfTrue="1">
      <formula>0</formula>
    </cfRule>
    <cfRule type="cellIs" priority="100" dxfId="1897" operator="greaterThan" stopIfTrue="1">
      <formula>0</formula>
    </cfRule>
  </conditionalFormatting>
  <conditionalFormatting sqref="F38">
    <cfRule type="cellIs" priority="97" dxfId="1896" operator="lessThan" stopIfTrue="1">
      <formula>0</formula>
    </cfRule>
    <cfRule type="cellIs" priority="98" dxfId="1897" operator="greaterThan" stopIfTrue="1">
      <formula>0</formula>
    </cfRule>
  </conditionalFormatting>
  <conditionalFormatting sqref="F38">
    <cfRule type="cellIs" priority="95" dxfId="1896" operator="lessThan" stopIfTrue="1">
      <formula>0</formula>
    </cfRule>
    <cfRule type="cellIs" priority="96" dxfId="1897" operator="greaterThan" stopIfTrue="1">
      <formula>0</formula>
    </cfRule>
  </conditionalFormatting>
  <conditionalFormatting sqref="F38">
    <cfRule type="cellIs" priority="93" dxfId="1896" operator="lessThan" stopIfTrue="1">
      <formula>0</formula>
    </cfRule>
    <cfRule type="cellIs" priority="94" dxfId="1897" operator="greaterThan" stopIfTrue="1">
      <formula>0</formula>
    </cfRule>
  </conditionalFormatting>
  <conditionalFormatting sqref="F38">
    <cfRule type="cellIs" priority="91" dxfId="1896" operator="lessThan" stopIfTrue="1">
      <formula>0</formula>
    </cfRule>
    <cfRule type="cellIs" priority="92" dxfId="1897" operator="greaterThan" stopIfTrue="1">
      <formula>0</formula>
    </cfRule>
  </conditionalFormatting>
  <conditionalFormatting sqref="F38">
    <cfRule type="cellIs" priority="89" dxfId="1896" operator="lessThan" stopIfTrue="1">
      <formula>0</formula>
    </cfRule>
    <cfRule type="cellIs" priority="90" dxfId="1897" operator="greaterThan" stopIfTrue="1">
      <formula>0</formula>
    </cfRule>
  </conditionalFormatting>
  <conditionalFormatting sqref="F50 F52 F37 F39">
    <cfRule type="cellIs" priority="87" dxfId="1896" operator="lessThan" stopIfTrue="1">
      <formula>0</formula>
    </cfRule>
    <cfRule type="cellIs" priority="88" dxfId="1897" operator="greaterThan" stopIfTrue="1">
      <formula>0</formula>
    </cfRule>
  </conditionalFormatting>
  <conditionalFormatting sqref="F37 F39">
    <cfRule type="cellIs" priority="85" dxfId="1896" operator="lessThan" stopIfTrue="1">
      <formula>0</formula>
    </cfRule>
    <cfRule type="cellIs" priority="86" dxfId="1897" operator="greaterThan" stopIfTrue="1">
      <formula>0</formula>
    </cfRule>
  </conditionalFormatting>
  <conditionalFormatting sqref="F38">
    <cfRule type="cellIs" priority="83" dxfId="1896" operator="lessThan" stopIfTrue="1">
      <formula>0</formula>
    </cfRule>
    <cfRule type="cellIs" priority="84" dxfId="1897" operator="greaterThan" stopIfTrue="1">
      <formula>0</formula>
    </cfRule>
  </conditionalFormatting>
  <conditionalFormatting sqref="F38">
    <cfRule type="cellIs" priority="81" dxfId="1896" operator="lessThan" stopIfTrue="1">
      <formula>0</formula>
    </cfRule>
    <cfRule type="cellIs" priority="82" dxfId="1897" operator="greaterThan" stopIfTrue="1">
      <formula>0</formula>
    </cfRule>
  </conditionalFormatting>
  <conditionalFormatting sqref="F38">
    <cfRule type="cellIs" priority="79" dxfId="1896" operator="lessThan" stopIfTrue="1">
      <formula>0</formula>
    </cfRule>
    <cfRule type="cellIs" priority="80" dxfId="1897" operator="greaterThan" stopIfTrue="1">
      <formula>0</formula>
    </cfRule>
  </conditionalFormatting>
  <conditionalFormatting sqref="F38">
    <cfRule type="cellIs" priority="77" dxfId="1896" operator="lessThan" stopIfTrue="1">
      <formula>0</formula>
    </cfRule>
    <cfRule type="cellIs" priority="78" dxfId="1897" operator="greaterThan" stopIfTrue="1">
      <formula>0</formula>
    </cfRule>
  </conditionalFormatting>
  <conditionalFormatting sqref="F37 F39">
    <cfRule type="cellIs" priority="75" dxfId="1896" operator="lessThan" stopIfTrue="1">
      <formula>0</formula>
    </cfRule>
    <cfRule type="cellIs" priority="76" dxfId="1897" operator="greaterThan" stopIfTrue="1">
      <formula>0</formula>
    </cfRule>
  </conditionalFormatting>
  <conditionalFormatting sqref="F38">
    <cfRule type="cellIs" priority="73" dxfId="1896" operator="lessThan" stopIfTrue="1">
      <formula>0</formula>
    </cfRule>
    <cfRule type="cellIs" priority="74" dxfId="1897" operator="greaterThan" stopIfTrue="1">
      <formula>0</formula>
    </cfRule>
  </conditionalFormatting>
  <conditionalFormatting sqref="F38">
    <cfRule type="cellIs" priority="71" dxfId="1896" operator="lessThan" stopIfTrue="1">
      <formula>0</formula>
    </cfRule>
    <cfRule type="cellIs" priority="72" dxfId="1897" operator="greaterThan" stopIfTrue="1">
      <formula>0</formula>
    </cfRule>
  </conditionalFormatting>
  <conditionalFormatting sqref="F38">
    <cfRule type="cellIs" priority="69" dxfId="1896" operator="lessThan" stopIfTrue="1">
      <formula>0</formula>
    </cfRule>
    <cfRule type="cellIs" priority="70" dxfId="1897" operator="greaterThan" stopIfTrue="1">
      <formula>0</formula>
    </cfRule>
  </conditionalFormatting>
  <conditionalFormatting sqref="F38">
    <cfRule type="cellIs" priority="67" dxfId="1896" operator="lessThan" stopIfTrue="1">
      <formula>0</formula>
    </cfRule>
    <cfRule type="cellIs" priority="68" dxfId="1897" operator="greaterThan" stopIfTrue="1">
      <formula>0</formula>
    </cfRule>
  </conditionalFormatting>
  <conditionalFormatting sqref="F38">
    <cfRule type="cellIs" priority="65" dxfId="1896" operator="lessThan" stopIfTrue="1">
      <formula>0</formula>
    </cfRule>
    <cfRule type="cellIs" priority="66" dxfId="1897" operator="greaterThan" stopIfTrue="1">
      <formula>0</formula>
    </cfRule>
  </conditionalFormatting>
  <conditionalFormatting sqref="F38">
    <cfRule type="cellIs" priority="63" dxfId="1896" operator="lessThan" stopIfTrue="1">
      <formula>0</formula>
    </cfRule>
    <cfRule type="cellIs" priority="64" dxfId="1897" operator="greaterThan" stopIfTrue="1">
      <formula>0</formula>
    </cfRule>
  </conditionalFormatting>
  <conditionalFormatting sqref="F38">
    <cfRule type="cellIs" priority="61" dxfId="1896" operator="lessThan" stopIfTrue="1">
      <formula>0</formula>
    </cfRule>
    <cfRule type="cellIs" priority="62" dxfId="1897" operator="greaterThan" stopIfTrue="1">
      <formula>0</formula>
    </cfRule>
  </conditionalFormatting>
  <conditionalFormatting sqref="F38">
    <cfRule type="cellIs" priority="59" dxfId="1896" operator="lessThan" stopIfTrue="1">
      <formula>0</formula>
    </cfRule>
    <cfRule type="cellIs" priority="60" dxfId="1897" operator="greaterThan" stopIfTrue="1">
      <formula>0</formula>
    </cfRule>
  </conditionalFormatting>
  <conditionalFormatting sqref="F50 F52 F37 F39">
    <cfRule type="cellIs" priority="57" dxfId="1896" operator="lessThan" stopIfTrue="1">
      <formula>0</formula>
    </cfRule>
    <cfRule type="cellIs" priority="58" dxfId="1897" operator="greaterThan" stopIfTrue="1">
      <formula>0</formula>
    </cfRule>
  </conditionalFormatting>
  <conditionalFormatting sqref="F38">
    <cfRule type="cellIs" priority="55" dxfId="1896" operator="lessThan" stopIfTrue="1">
      <formula>0</formula>
    </cfRule>
    <cfRule type="cellIs" priority="56" dxfId="1897" operator="greaterThan" stopIfTrue="1">
      <formula>0</formula>
    </cfRule>
  </conditionalFormatting>
  <conditionalFormatting sqref="F38">
    <cfRule type="cellIs" priority="53" dxfId="1896" operator="lessThan" stopIfTrue="1">
      <formula>0</formula>
    </cfRule>
    <cfRule type="cellIs" priority="54" dxfId="1897" operator="greaterThan" stopIfTrue="1">
      <formula>0</formula>
    </cfRule>
  </conditionalFormatting>
  <conditionalFormatting sqref="F37 F39">
    <cfRule type="cellIs" priority="51" dxfId="1896" operator="lessThan" stopIfTrue="1">
      <formula>0</formula>
    </cfRule>
    <cfRule type="cellIs" priority="52" dxfId="1897" operator="greaterThan" stopIfTrue="1">
      <formula>0</formula>
    </cfRule>
  </conditionalFormatting>
  <conditionalFormatting sqref="F38">
    <cfRule type="cellIs" priority="49" dxfId="1896" operator="lessThan" stopIfTrue="1">
      <formula>0</formula>
    </cfRule>
    <cfRule type="cellIs" priority="50" dxfId="1897" operator="greaterThan" stopIfTrue="1">
      <formula>0</formula>
    </cfRule>
  </conditionalFormatting>
  <conditionalFormatting sqref="F38">
    <cfRule type="cellIs" priority="47" dxfId="1896" operator="lessThan" stopIfTrue="1">
      <formula>0</formula>
    </cfRule>
    <cfRule type="cellIs" priority="48" dxfId="1897" operator="greaterThan" stopIfTrue="1">
      <formula>0</formula>
    </cfRule>
  </conditionalFormatting>
  <conditionalFormatting sqref="F38">
    <cfRule type="cellIs" priority="45" dxfId="1896" operator="lessThan" stopIfTrue="1">
      <formula>0</formula>
    </cfRule>
    <cfRule type="cellIs" priority="46" dxfId="1897" operator="greaterThan" stopIfTrue="1">
      <formula>0</formula>
    </cfRule>
  </conditionalFormatting>
  <conditionalFormatting sqref="F38">
    <cfRule type="cellIs" priority="43" dxfId="1896" operator="lessThan" stopIfTrue="1">
      <formula>0</formula>
    </cfRule>
    <cfRule type="cellIs" priority="44" dxfId="1897" operator="greaterThan" stopIfTrue="1">
      <formula>0</formula>
    </cfRule>
  </conditionalFormatting>
  <conditionalFormatting sqref="F38">
    <cfRule type="cellIs" priority="41" dxfId="1896" operator="lessThan" stopIfTrue="1">
      <formula>0</formula>
    </cfRule>
    <cfRule type="cellIs" priority="42" dxfId="1897" operator="greaterThan" stopIfTrue="1">
      <formula>0</formula>
    </cfRule>
  </conditionalFormatting>
  <conditionalFormatting sqref="F38">
    <cfRule type="cellIs" priority="39" dxfId="1896" operator="lessThan" stopIfTrue="1">
      <formula>0</formula>
    </cfRule>
    <cfRule type="cellIs" priority="40" dxfId="1897" operator="greaterThan" stopIfTrue="1">
      <formula>0</formula>
    </cfRule>
  </conditionalFormatting>
  <conditionalFormatting sqref="F38">
    <cfRule type="cellIs" priority="37" dxfId="1896" operator="lessThan" stopIfTrue="1">
      <formula>0</formula>
    </cfRule>
    <cfRule type="cellIs" priority="38" dxfId="1897" operator="greaterThan" stopIfTrue="1">
      <formula>0</formula>
    </cfRule>
  </conditionalFormatting>
  <conditionalFormatting sqref="F38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50 F52 F37 F39">
    <cfRule type="cellIs" priority="33" dxfId="1896" operator="lessThan" stopIfTrue="1">
      <formula>0</formula>
    </cfRule>
    <cfRule type="cellIs" priority="34" dxfId="1897" operator="greaterThan" stopIfTrue="1">
      <formula>0</formula>
    </cfRule>
  </conditionalFormatting>
  <conditionalFormatting sqref="F38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8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7 F39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8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38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38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38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8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8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8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8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52 F37 F39 F5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8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8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8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8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5" r:id="rId1"/>
  <ignoredErrors>
    <ignoredError sqref="D9 D1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52"/>
  <sheetViews>
    <sheetView showZeros="0" zoomScale="90" zoomScaleNormal="90" zoomScalePageLayoutView="0" workbookViewId="0" topLeftCell="A1">
      <selection activeCell="B2" sqref="B2:F2"/>
    </sheetView>
  </sheetViews>
  <sheetFormatPr defaultColWidth="11.421875" defaultRowHeight="15"/>
  <cols>
    <col min="1" max="1" width="2.7109375" style="0" customWidth="1"/>
    <col min="2" max="2" width="42.140625" style="0" customWidth="1"/>
    <col min="3" max="3" width="10.8515625" style="0" customWidth="1"/>
    <col min="4" max="4" width="14.7109375" style="0" customWidth="1"/>
    <col min="5" max="5" width="39.8515625" style="0" customWidth="1"/>
    <col min="6" max="6" width="14.8515625" style="0" customWidth="1"/>
    <col min="7" max="7" width="3.28125" style="0" customWidth="1"/>
    <col min="8" max="8" width="8.57421875" style="0" customWidth="1"/>
  </cols>
  <sheetData>
    <row r="1" ht="6" customHeight="1" thickBot="1"/>
    <row r="2" spans="2:6" ht="26.25">
      <c r="B2" s="467" t="s">
        <v>71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70" t="str">
        <f>'11'!B4:F4</f>
        <v>Tomates beefsteak (classement et emballage)</v>
      </c>
      <c r="C4" s="471"/>
      <c r="D4" s="471"/>
      <c r="E4" s="471"/>
      <c r="F4" s="472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78</v>
      </c>
      <c r="D6" s="473"/>
      <c r="E6" s="473"/>
      <c r="F6" s="499"/>
    </row>
    <row r="7" spans="2:6" ht="15.75" thickBot="1">
      <c r="B7" s="47"/>
      <c r="C7" s="1"/>
      <c r="D7" s="23"/>
      <c r="E7" s="1"/>
      <c r="F7" s="48"/>
    </row>
    <row r="8" spans="2:6" ht="15">
      <c r="B8" s="509" t="s">
        <v>131</v>
      </c>
      <c r="C8" s="510"/>
      <c r="D8" s="337">
        <f>'11'!$D$8</f>
        <v>0.7</v>
      </c>
      <c r="E8" s="338" t="s">
        <v>77</v>
      </c>
      <c r="F8" s="190">
        <f>D10*D11/1000</f>
        <v>22.5</v>
      </c>
    </row>
    <row r="9" spans="2:6" ht="15">
      <c r="B9" s="86" t="s">
        <v>150</v>
      </c>
      <c r="C9" s="160"/>
      <c r="D9" s="449">
        <f>'11'!D9</f>
        <v>13</v>
      </c>
      <c r="E9" s="339" t="s">
        <v>53</v>
      </c>
      <c r="F9" s="168">
        <v>2000</v>
      </c>
    </row>
    <row r="10" spans="2:6" ht="15">
      <c r="B10" s="86" t="s">
        <v>39</v>
      </c>
      <c r="C10" s="159"/>
      <c r="D10" s="341">
        <f>1!D8</f>
        <v>500</v>
      </c>
      <c r="E10" s="83" t="s">
        <v>34</v>
      </c>
      <c r="F10" s="169">
        <v>15</v>
      </c>
    </row>
    <row r="11" spans="2:6" ht="15.75" customHeight="1" thickBot="1">
      <c r="B11" s="501" t="s">
        <v>141</v>
      </c>
      <c r="C11" s="502"/>
      <c r="D11" s="450">
        <f>'11'!D11</f>
        <v>45</v>
      </c>
      <c r="E11" s="161" t="s">
        <v>42</v>
      </c>
      <c r="F11" s="263">
        <f>1!F9</f>
        <v>0.05</v>
      </c>
    </row>
    <row r="12" spans="2:6" ht="16.5" customHeight="1">
      <c r="B12" s="51" t="s">
        <v>9</v>
      </c>
      <c r="C12" s="73"/>
      <c r="D12" s="17" t="s">
        <v>7</v>
      </c>
      <c r="E12" s="87" t="s">
        <v>22</v>
      </c>
      <c r="F12" s="88" t="s">
        <v>8</v>
      </c>
    </row>
    <row r="13" spans="2:6" ht="15.75">
      <c r="B13" s="183" t="s">
        <v>18</v>
      </c>
      <c r="C13" s="177"/>
      <c r="D13" s="178"/>
      <c r="E13" s="322" t="s">
        <v>18</v>
      </c>
      <c r="F13" s="178"/>
    </row>
    <row r="14" spans="2:6" ht="15.75">
      <c r="B14" s="325" t="s">
        <v>18</v>
      </c>
      <c r="C14" s="177"/>
      <c r="D14" s="180"/>
      <c r="E14" s="323"/>
      <c r="F14" s="180"/>
    </row>
    <row r="15" spans="2:6" ht="16.5" thickBot="1">
      <c r="B15" s="89" t="s">
        <v>1</v>
      </c>
      <c r="C15" s="90"/>
      <c r="D15" s="114">
        <f>SUM(D13:D14)</f>
        <v>0</v>
      </c>
      <c r="E15" s="91" t="s">
        <v>2</v>
      </c>
      <c r="F15" s="114">
        <f>SUM(F13:F14)</f>
        <v>0</v>
      </c>
    </row>
    <row r="16" spans="2:6" ht="3.75" customHeight="1" thickBot="1">
      <c r="B16" s="57"/>
      <c r="C16" s="9"/>
      <c r="D16" s="8"/>
      <c r="E16" s="9"/>
      <c r="F16" s="10"/>
    </row>
    <row r="17" spans="2:6" ht="16.5" customHeight="1" hidden="1" thickBot="1">
      <c r="B17" s="53" t="s">
        <v>18</v>
      </c>
      <c r="C17" s="75"/>
      <c r="D17" s="2"/>
      <c r="E17" s="5"/>
      <c r="F17" s="4"/>
    </row>
    <row r="18" spans="2:6" ht="15.75" customHeight="1" hidden="1" thickBot="1">
      <c r="B18" s="54"/>
      <c r="C18" s="5"/>
      <c r="D18" s="2"/>
      <c r="E18" s="5"/>
      <c r="F18" s="4"/>
    </row>
    <row r="19" spans="2:6" ht="15.75" customHeight="1" hidden="1" thickBot="1">
      <c r="B19" s="54"/>
      <c r="C19" s="5"/>
      <c r="D19" s="2"/>
      <c r="E19" s="5"/>
      <c r="F19" s="4"/>
    </row>
    <row r="20" spans="2:6" ht="15.75" customHeight="1" hidden="1" thickBot="1">
      <c r="B20" s="54"/>
      <c r="C20" s="5"/>
      <c r="D20" s="2"/>
      <c r="E20" s="5"/>
      <c r="F20" s="4"/>
    </row>
    <row r="21" spans="2:6" ht="15.75" customHeight="1" hidden="1" thickBot="1">
      <c r="B21" s="55"/>
      <c r="C21" s="6"/>
      <c r="D21" s="2"/>
      <c r="E21" s="6"/>
      <c r="F21" s="4"/>
    </row>
    <row r="22" spans="2:5" ht="16.5" customHeight="1" hidden="1" thickBot="1">
      <c r="B22" s="56"/>
      <c r="C22" s="38"/>
      <c r="E22" s="38"/>
    </row>
    <row r="23" spans="2:6" ht="15.75" customHeight="1" hidden="1" thickBot="1">
      <c r="B23" s="57"/>
      <c r="C23" s="9"/>
      <c r="D23" s="8"/>
      <c r="E23" s="9"/>
      <c r="F23" s="10"/>
    </row>
    <row r="24" spans="2:6" ht="15.75">
      <c r="B24" s="58" t="s">
        <v>3</v>
      </c>
      <c r="C24" s="76"/>
      <c r="D24" s="15"/>
      <c r="E24" s="162" t="s">
        <v>23</v>
      </c>
      <c r="F24" s="16"/>
    </row>
    <row r="25" spans="2:6" ht="15">
      <c r="B25" s="54"/>
      <c r="C25" s="327" t="s">
        <v>135</v>
      </c>
      <c r="D25" s="326" t="s">
        <v>133</v>
      </c>
      <c r="E25" s="20" t="s">
        <v>18</v>
      </c>
      <c r="F25" s="326" t="s">
        <v>38</v>
      </c>
    </row>
    <row r="26" spans="2:6" ht="15">
      <c r="B26" s="72" t="s">
        <v>24</v>
      </c>
      <c r="C26" s="77"/>
      <c r="D26" s="27"/>
      <c r="E26" s="170" t="s">
        <v>18</v>
      </c>
      <c r="F26" s="172"/>
    </row>
    <row r="27" spans="2:6" ht="15">
      <c r="B27" s="183" t="s">
        <v>93</v>
      </c>
      <c r="C27" s="304">
        <v>3.12</v>
      </c>
      <c r="D27" s="307">
        <f aca="true" t="shared" si="0" ref="D27:D32">C27*$D$9</f>
        <v>40.56</v>
      </c>
      <c r="E27" s="451" t="s">
        <v>94</v>
      </c>
      <c r="F27" s="184"/>
    </row>
    <row r="28" spans="2:6" ht="15">
      <c r="B28" s="183"/>
      <c r="C28" s="304">
        <v>9.15</v>
      </c>
      <c r="D28" s="307">
        <f t="shared" si="0"/>
        <v>118.95</v>
      </c>
      <c r="E28" s="171" t="s">
        <v>28</v>
      </c>
      <c r="F28" s="307">
        <f>_xlfn.IFERROR(F9/F10*100/D10,0)</f>
        <v>26.666666666666668</v>
      </c>
    </row>
    <row r="29" spans="2:6" ht="15">
      <c r="B29" s="182"/>
      <c r="C29" s="304"/>
      <c r="D29" s="307">
        <f t="shared" si="0"/>
        <v>0</v>
      </c>
      <c r="E29" s="171" t="s">
        <v>52</v>
      </c>
      <c r="F29" s="307">
        <f>_xlfn.IFERROR((((-(PMT($F$11/1,$F$10*1,$F$9)))*$F$10*1-$F$9))/$F$10*100/$D$10,0)</f>
        <v>11.870248377031082</v>
      </c>
    </row>
    <row r="30" spans="2:6" ht="15" customHeight="1" hidden="1">
      <c r="B30" s="54"/>
      <c r="C30" s="318"/>
      <c r="D30" s="115">
        <f t="shared" si="0"/>
        <v>0</v>
      </c>
      <c r="E30" s="163" t="s">
        <v>18</v>
      </c>
      <c r="F30" s="99"/>
    </row>
    <row r="31" spans="2:6" ht="15" customHeight="1" hidden="1">
      <c r="B31" s="54"/>
      <c r="C31" s="319"/>
      <c r="D31" s="307">
        <f t="shared" si="0"/>
        <v>0</v>
      </c>
      <c r="E31" s="163"/>
      <c r="F31" s="99"/>
    </row>
    <row r="32" spans="2:6" ht="15" customHeight="1" hidden="1">
      <c r="B32" s="54"/>
      <c r="C32" s="319"/>
      <c r="D32" s="307">
        <f t="shared" si="0"/>
        <v>0</v>
      </c>
      <c r="E32" s="163" t="s">
        <v>18</v>
      </c>
      <c r="F32" s="99"/>
    </row>
    <row r="33" spans="1:6" ht="16.5" thickBot="1">
      <c r="A33" s="79"/>
      <c r="B33" s="89" t="s">
        <v>5</v>
      </c>
      <c r="C33" s="320">
        <f>SUM(C27:C32)</f>
        <v>12.27</v>
      </c>
      <c r="D33" s="116">
        <f>SUM(D25:D32)</f>
        <v>159.51</v>
      </c>
      <c r="E33" s="164" t="s">
        <v>6</v>
      </c>
      <c r="F33" s="116">
        <f>SUM(F25:F32)</f>
        <v>38.536915043697746</v>
      </c>
    </row>
    <row r="34" spans="2:6" ht="6" customHeight="1">
      <c r="B34" s="55"/>
      <c r="C34" s="321"/>
      <c r="D34" s="27"/>
      <c r="E34" s="14"/>
      <c r="F34" s="30"/>
    </row>
    <row r="35" spans="1:6" ht="16.5" customHeight="1" thickBot="1">
      <c r="A35" s="79"/>
      <c r="B35" s="93" t="s">
        <v>40</v>
      </c>
      <c r="C35" s="94"/>
      <c r="D35" s="95">
        <f>D15+D33</f>
        <v>159.51</v>
      </c>
      <c r="E35" s="94" t="s">
        <v>41</v>
      </c>
      <c r="F35" s="95">
        <f>F15+F33</f>
        <v>38.536915043697746</v>
      </c>
    </row>
    <row r="36" spans="1:6" ht="29.25" customHeight="1" thickBot="1">
      <c r="A36" s="79"/>
      <c r="B36" s="483" t="s">
        <v>158</v>
      </c>
      <c r="C36" s="484"/>
      <c r="D36" s="314">
        <f>D33-D33/(1+(1-$D$8))</f>
        <v>36.81</v>
      </c>
      <c r="E36" s="96"/>
      <c r="F36" s="97"/>
    </row>
    <row r="37" spans="1:6" ht="16.5" customHeight="1">
      <c r="A37" s="79"/>
      <c r="B37" s="503" t="s">
        <v>64</v>
      </c>
      <c r="C37" s="504"/>
      <c r="D37" s="504"/>
      <c r="E37" s="505"/>
      <c r="F37" s="295">
        <f>D35-F35</f>
        <v>120.97308495630224</v>
      </c>
    </row>
    <row r="38" spans="1:6" ht="16.5" customHeight="1">
      <c r="A38" s="79"/>
      <c r="B38" s="512" t="s">
        <v>115</v>
      </c>
      <c r="C38" s="513"/>
      <c r="D38" s="513"/>
      <c r="E38" s="514"/>
      <c r="F38" s="297">
        <f>_xlfn.IFERROR(IF((F37+F28+F29)&lt;0.005,"N/A",F9/D10*100/(F37+F29+F28))," ")</f>
        <v>2.5076797692934614</v>
      </c>
    </row>
    <row r="39" spans="2:6" ht="16.5" thickBot="1">
      <c r="B39" s="506" t="s">
        <v>116</v>
      </c>
      <c r="C39" s="507"/>
      <c r="D39" s="507"/>
      <c r="E39" s="508"/>
      <c r="F39" s="296">
        <f>_xlfn.IFERROR(F37/$D$11," ")</f>
        <v>2.6882907768067166</v>
      </c>
    </row>
    <row r="40" spans="1:6" s="45" customFormat="1" ht="44.25" customHeight="1">
      <c r="A40" s="100"/>
      <c r="B40" s="477" t="s">
        <v>134</v>
      </c>
      <c r="C40" s="477"/>
      <c r="D40" s="477"/>
      <c r="E40" s="477"/>
      <c r="F40" s="477"/>
    </row>
    <row r="41" spans="1:6" s="45" customFormat="1" ht="19.5" customHeight="1">
      <c r="A41" s="100"/>
      <c r="B41" s="478" t="s">
        <v>73</v>
      </c>
      <c r="C41" s="478"/>
      <c r="D41" s="478"/>
      <c r="E41" s="14"/>
      <c r="F41" s="101"/>
    </row>
    <row r="42" spans="1:6" s="45" customFormat="1" ht="22.5" customHeight="1" thickBot="1">
      <c r="A42" s="100"/>
      <c r="B42" s="487" t="str">
        <f>"Flux annuel moyen de trésorerie durant la période de l'emprunt. ("&amp;D10&amp;" m²)"</f>
        <v>Flux annuel moyen de trésorerie durant la période de l'emprunt. (500 m²)</v>
      </c>
      <c r="C42" s="487"/>
      <c r="D42" s="487"/>
      <c r="E42" s="487"/>
      <c r="F42" s="487"/>
    </row>
    <row r="43" spans="1:9" s="45" customFormat="1" ht="15.75" customHeight="1">
      <c r="A43" s="100"/>
      <c r="B43" s="488" t="str">
        <f>"Montant de l'emprunt  "&amp;H43*100&amp;" % de l'investissement"</f>
        <v>Montant de l'emprunt  75 % de l'investissement</v>
      </c>
      <c r="C43" s="489"/>
      <c r="D43" s="274">
        <f>H43*F9</f>
        <v>1500</v>
      </c>
      <c r="E43" s="264" t="s">
        <v>54</v>
      </c>
      <c r="F43" s="265">
        <v>4</v>
      </c>
      <c r="H43" s="268">
        <v>0.75</v>
      </c>
      <c r="I43" s="269" t="s">
        <v>99</v>
      </c>
    </row>
    <row r="44" spans="1:9" s="45" customFormat="1" ht="15.75" customHeight="1" thickBot="1">
      <c r="A44" s="100"/>
      <c r="B44" s="490" t="str">
        <f>"Durée de l'emprunt  "&amp;H44*100&amp;" % de l'amortissement"</f>
        <v>Durée de l'emprunt  50 % de l'amortissement</v>
      </c>
      <c r="C44" s="491"/>
      <c r="D44" s="275">
        <f>F10*H44</f>
        <v>7.5</v>
      </c>
      <c r="E44" s="266" t="s">
        <v>55</v>
      </c>
      <c r="F44" s="267">
        <v>0.05</v>
      </c>
      <c r="H44" s="268">
        <v>0.5</v>
      </c>
      <c r="I44" s="269" t="s">
        <v>117</v>
      </c>
    </row>
    <row r="45" spans="1:6" s="85" customFormat="1" ht="15.75">
      <c r="A45" s="79"/>
      <c r="B45" s="109" t="s">
        <v>65</v>
      </c>
      <c r="C45" s="107"/>
      <c r="D45" s="173"/>
      <c r="E45" s="110" t="s">
        <v>66</v>
      </c>
      <c r="F45" s="108"/>
    </row>
    <row r="46" spans="1:6" ht="15.75">
      <c r="A46" s="79"/>
      <c r="B46" s="166" t="str">
        <f>"Économies de main d'œuvre sur "&amp;D10&amp;" m²"</f>
        <v>Économies de main d'œuvre sur 500 m²</v>
      </c>
      <c r="C46" s="74"/>
      <c r="D46" s="283">
        <f>D35*$D$10/100</f>
        <v>797.55</v>
      </c>
      <c r="E46" s="7" t="s">
        <v>43</v>
      </c>
      <c r="F46" s="112">
        <f>_xlfn.IFERROR(D43/D44," ")</f>
        <v>200</v>
      </c>
    </row>
    <row r="47" spans="2:6" ht="15.75">
      <c r="B47" s="176" t="s">
        <v>51</v>
      </c>
      <c r="C47" s="177"/>
      <c r="D47" s="174"/>
      <c r="E47" s="39" t="s">
        <v>44</v>
      </c>
      <c r="F47" s="112">
        <f>_xlfn.IFERROR((-PMT(F44/F43,D44*F43,D43))/D44," ")</f>
        <v>8.035708686652745</v>
      </c>
    </row>
    <row r="48" spans="2:6" ht="15.75">
      <c r="B48" s="185" t="s">
        <v>18</v>
      </c>
      <c r="C48" s="186"/>
      <c r="D48" s="187"/>
      <c r="E48" s="188" t="s">
        <v>46</v>
      </c>
      <c r="F48" s="187"/>
    </row>
    <row r="49" spans="2:6" ht="17.25" customHeight="1" thickBot="1">
      <c r="B49" s="89" t="s">
        <v>45</v>
      </c>
      <c r="C49" s="90"/>
      <c r="D49" s="92">
        <f>SUM(D46:D48)</f>
        <v>797.55</v>
      </c>
      <c r="E49" s="89" t="s">
        <v>12</v>
      </c>
      <c r="F49" s="92">
        <f>SUM(F46:F48)</f>
        <v>208.03570868665275</v>
      </c>
    </row>
    <row r="50" spans="2:6" ht="17.25" customHeight="1" thickBot="1">
      <c r="B50" s="494" t="s">
        <v>67</v>
      </c>
      <c r="C50" s="495"/>
      <c r="D50" s="495"/>
      <c r="E50" s="495"/>
      <c r="F50" s="158">
        <f>D49-F49</f>
        <v>589.5142913133473</v>
      </c>
    </row>
    <row r="51" spans="2:6" ht="3.75" customHeight="1" thickBot="1">
      <c r="B51" s="55"/>
      <c r="C51" s="6"/>
      <c r="D51" s="6"/>
      <c r="E51" s="6"/>
      <c r="F51" s="98"/>
    </row>
    <row r="52" spans="2:6" ht="17.25" customHeight="1" thickBot="1">
      <c r="B52" s="494" t="s">
        <v>68</v>
      </c>
      <c r="C52" s="495"/>
      <c r="D52" s="495"/>
      <c r="E52" s="495"/>
      <c r="F52" s="158">
        <f>_xlfn.IFERROR(F50*100/D10,)</f>
        <v>117.90285826266945</v>
      </c>
    </row>
  </sheetData>
  <sheetProtection sheet="1"/>
  <mergeCells count="17">
    <mergeCell ref="B52:E52"/>
    <mergeCell ref="B40:F40"/>
    <mergeCell ref="B41:D41"/>
    <mergeCell ref="B42:F42"/>
    <mergeCell ref="B43:C43"/>
    <mergeCell ref="B44:C44"/>
    <mergeCell ref="B50:E50"/>
    <mergeCell ref="B2:F2"/>
    <mergeCell ref="B4:F4"/>
    <mergeCell ref="C6:F6"/>
    <mergeCell ref="B11:C11"/>
    <mergeCell ref="B37:E37"/>
    <mergeCell ref="B39:E39"/>
    <mergeCell ref="B38:E38"/>
    <mergeCell ref="D5:F5"/>
    <mergeCell ref="B8:C8"/>
    <mergeCell ref="B36:C36"/>
  </mergeCells>
  <conditionalFormatting sqref="F50 F52 F37 F39">
    <cfRule type="cellIs" priority="275" dxfId="1896" operator="lessThan" stopIfTrue="1">
      <formula>0</formula>
    </cfRule>
    <cfRule type="cellIs" priority="276" dxfId="1897" operator="greaterThan" stopIfTrue="1">
      <formula>0</formula>
    </cfRule>
  </conditionalFormatting>
  <conditionalFormatting sqref="F37 F39">
    <cfRule type="cellIs" priority="273" dxfId="1896" operator="lessThan" stopIfTrue="1">
      <formula>0</formula>
    </cfRule>
    <cfRule type="cellIs" priority="274" dxfId="1897" operator="greaterThan" stopIfTrue="1">
      <formula>0</formula>
    </cfRule>
  </conditionalFormatting>
  <conditionalFormatting sqref="F38">
    <cfRule type="cellIs" priority="271" dxfId="1896" operator="lessThan" stopIfTrue="1">
      <formula>0</formula>
    </cfRule>
    <cfRule type="cellIs" priority="272" dxfId="1897" operator="greaterThan" stopIfTrue="1">
      <formula>0</formula>
    </cfRule>
  </conditionalFormatting>
  <conditionalFormatting sqref="F38">
    <cfRule type="cellIs" priority="269" dxfId="1896" operator="lessThan" stopIfTrue="1">
      <formula>0</formula>
    </cfRule>
    <cfRule type="cellIs" priority="270" dxfId="1897" operator="greaterThan" stopIfTrue="1">
      <formula>0</formula>
    </cfRule>
  </conditionalFormatting>
  <conditionalFormatting sqref="F38">
    <cfRule type="cellIs" priority="267" dxfId="1896" operator="lessThan" stopIfTrue="1">
      <formula>0</formula>
    </cfRule>
    <cfRule type="cellIs" priority="268" dxfId="1897" operator="greaterThan" stopIfTrue="1">
      <formula>0</formula>
    </cfRule>
  </conditionalFormatting>
  <conditionalFormatting sqref="F38">
    <cfRule type="cellIs" priority="265" dxfId="1896" operator="lessThan" stopIfTrue="1">
      <formula>0</formula>
    </cfRule>
    <cfRule type="cellIs" priority="266" dxfId="1897" operator="greaterThan" stopIfTrue="1">
      <formula>0</formula>
    </cfRule>
  </conditionalFormatting>
  <conditionalFormatting sqref="F38">
    <cfRule type="cellIs" priority="263" dxfId="1896" operator="lessThan" stopIfTrue="1">
      <formula>0</formula>
    </cfRule>
    <cfRule type="cellIs" priority="264" dxfId="1897" operator="greaterThan" stopIfTrue="1">
      <formula>0</formula>
    </cfRule>
  </conditionalFormatting>
  <conditionalFormatting sqref="F38">
    <cfRule type="cellIs" priority="261" dxfId="1896" operator="lessThan" stopIfTrue="1">
      <formula>0</formula>
    </cfRule>
    <cfRule type="cellIs" priority="262" dxfId="1897" operator="greaterThan" stopIfTrue="1">
      <formula>0</formula>
    </cfRule>
  </conditionalFormatting>
  <conditionalFormatting sqref="F38">
    <cfRule type="cellIs" priority="259" dxfId="1896" operator="lessThan" stopIfTrue="1">
      <formula>0</formula>
    </cfRule>
    <cfRule type="cellIs" priority="260" dxfId="1897" operator="greaterThan" stopIfTrue="1">
      <formula>0</formula>
    </cfRule>
  </conditionalFormatting>
  <conditionalFormatting sqref="F38">
    <cfRule type="cellIs" priority="257" dxfId="1896" operator="lessThan" stopIfTrue="1">
      <formula>0</formula>
    </cfRule>
    <cfRule type="cellIs" priority="258" dxfId="1897" operator="greaterThan" stopIfTrue="1">
      <formula>0</formula>
    </cfRule>
  </conditionalFormatting>
  <conditionalFormatting sqref="F50 F52 F37 F39">
    <cfRule type="cellIs" priority="255" dxfId="1896" operator="lessThan" stopIfTrue="1">
      <formula>0</formula>
    </cfRule>
    <cfRule type="cellIs" priority="256" dxfId="1897" operator="greaterThan" stopIfTrue="1">
      <formula>0</formula>
    </cfRule>
  </conditionalFormatting>
  <conditionalFormatting sqref="F37 F39">
    <cfRule type="cellIs" priority="253" dxfId="1896" operator="lessThan" stopIfTrue="1">
      <formula>0</formula>
    </cfRule>
    <cfRule type="cellIs" priority="254" dxfId="1897" operator="greaterThan" stopIfTrue="1">
      <formula>0</formula>
    </cfRule>
  </conditionalFormatting>
  <conditionalFormatting sqref="F38">
    <cfRule type="cellIs" priority="251" dxfId="1896" operator="lessThan" stopIfTrue="1">
      <formula>0</formula>
    </cfRule>
    <cfRule type="cellIs" priority="252" dxfId="1897" operator="greaterThan" stopIfTrue="1">
      <formula>0</formula>
    </cfRule>
  </conditionalFormatting>
  <conditionalFormatting sqref="F38">
    <cfRule type="cellIs" priority="249" dxfId="1896" operator="lessThan" stopIfTrue="1">
      <formula>0</formula>
    </cfRule>
    <cfRule type="cellIs" priority="250" dxfId="1897" operator="greaterThan" stopIfTrue="1">
      <formula>0</formula>
    </cfRule>
  </conditionalFormatting>
  <conditionalFormatting sqref="F38">
    <cfRule type="cellIs" priority="247" dxfId="1896" operator="lessThan" stopIfTrue="1">
      <formula>0</formula>
    </cfRule>
    <cfRule type="cellIs" priority="248" dxfId="1897" operator="greaterThan" stopIfTrue="1">
      <formula>0</formula>
    </cfRule>
  </conditionalFormatting>
  <conditionalFormatting sqref="F38">
    <cfRule type="cellIs" priority="245" dxfId="1896" operator="lessThan" stopIfTrue="1">
      <formula>0</formula>
    </cfRule>
    <cfRule type="cellIs" priority="246" dxfId="1897" operator="greaterThan" stopIfTrue="1">
      <formula>0</formula>
    </cfRule>
  </conditionalFormatting>
  <conditionalFormatting sqref="F37 F39">
    <cfRule type="cellIs" priority="243" dxfId="1896" operator="lessThan" stopIfTrue="1">
      <formula>0</formula>
    </cfRule>
    <cfRule type="cellIs" priority="244" dxfId="1897" operator="greaterThan" stopIfTrue="1">
      <formula>0</formula>
    </cfRule>
  </conditionalFormatting>
  <conditionalFormatting sqref="F38">
    <cfRule type="cellIs" priority="241" dxfId="1896" operator="lessThan" stopIfTrue="1">
      <formula>0</formula>
    </cfRule>
    <cfRule type="cellIs" priority="242" dxfId="1897" operator="greaterThan" stopIfTrue="1">
      <formula>0</formula>
    </cfRule>
  </conditionalFormatting>
  <conditionalFormatting sqref="F38">
    <cfRule type="cellIs" priority="239" dxfId="1896" operator="lessThan" stopIfTrue="1">
      <formula>0</formula>
    </cfRule>
    <cfRule type="cellIs" priority="240" dxfId="1897" operator="greaterThan" stopIfTrue="1">
      <formula>0</formula>
    </cfRule>
  </conditionalFormatting>
  <conditionalFormatting sqref="F38">
    <cfRule type="cellIs" priority="237" dxfId="1896" operator="lessThan" stopIfTrue="1">
      <formula>0</formula>
    </cfRule>
    <cfRule type="cellIs" priority="238" dxfId="1897" operator="greaterThan" stopIfTrue="1">
      <formula>0</formula>
    </cfRule>
  </conditionalFormatting>
  <conditionalFormatting sqref="F38">
    <cfRule type="cellIs" priority="235" dxfId="1896" operator="lessThan" stopIfTrue="1">
      <formula>0</formula>
    </cfRule>
    <cfRule type="cellIs" priority="236" dxfId="1897" operator="greaterThan" stopIfTrue="1">
      <formula>0</formula>
    </cfRule>
  </conditionalFormatting>
  <conditionalFormatting sqref="F38">
    <cfRule type="cellIs" priority="233" dxfId="1896" operator="lessThan" stopIfTrue="1">
      <formula>0</formula>
    </cfRule>
    <cfRule type="cellIs" priority="234" dxfId="1897" operator="greaterThan" stopIfTrue="1">
      <formula>0</formula>
    </cfRule>
  </conditionalFormatting>
  <conditionalFormatting sqref="F38">
    <cfRule type="cellIs" priority="231" dxfId="1896" operator="lessThan" stopIfTrue="1">
      <formula>0</formula>
    </cfRule>
    <cfRule type="cellIs" priority="232" dxfId="1897" operator="greaterThan" stopIfTrue="1">
      <formula>0</formula>
    </cfRule>
  </conditionalFormatting>
  <conditionalFormatting sqref="F38">
    <cfRule type="cellIs" priority="229" dxfId="1896" operator="lessThan" stopIfTrue="1">
      <formula>0</formula>
    </cfRule>
    <cfRule type="cellIs" priority="230" dxfId="1897" operator="greaterThan" stopIfTrue="1">
      <formula>0</formula>
    </cfRule>
  </conditionalFormatting>
  <conditionalFormatting sqref="F38">
    <cfRule type="cellIs" priority="227" dxfId="1896" operator="lessThan" stopIfTrue="1">
      <formula>0</formula>
    </cfRule>
    <cfRule type="cellIs" priority="228" dxfId="1897" operator="greaterThan" stopIfTrue="1">
      <formula>0</formula>
    </cfRule>
  </conditionalFormatting>
  <conditionalFormatting sqref="F50 F52 F37 F39">
    <cfRule type="cellIs" priority="225" dxfId="1896" operator="lessThan" stopIfTrue="1">
      <formula>0</formula>
    </cfRule>
    <cfRule type="cellIs" priority="226" dxfId="1897" operator="greaterThan" stopIfTrue="1">
      <formula>0</formula>
    </cfRule>
  </conditionalFormatting>
  <conditionalFormatting sqref="F37 F39">
    <cfRule type="cellIs" priority="223" dxfId="1896" operator="lessThan" stopIfTrue="1">
      <formula>0</formula>
    </cfRule>
    <cfRule type="cellIs" priority="224" dxfId="1897" operator="greaterThan" stopIfTrue="1">
      <formula>0</formula>
    </cfRule>
  </conditionalFormatting>
  <conditionalFormatting sqref="F38">
    <cfRule type="cellIs" priority="221" dxfId="1896" operator="lessThan" stopIfTrue="1">
      <formula>0</formula>
    </cfRule>
    <cfRule type="cellIs" priority="222" dxfId="1897" operator="greaterThan" stopIfTrue="1">
      <formula>0</formula>
    </cfRule>
  </conditionalFormatting>
  <conditionalFormatting sqref="F38">
    <cfRule type="cellIs" priority="219" dxfId="1896" operator="lessThan" stopIfTrue="1">
      <formula>0</formula>
    </cfRule>
    <cfRule type="cellIs" priority="220" dxfId="1897" operator="greaterThan" stopIfTrue="1">
      <formula>0</formula>
    </cfRule>
  </conditionalFormatting>
  <conditionalFormatting sqref="F38">
    <cfRule type="cellIs" priority="217" dxfId="1896" operator="lessThan" stopIfTrue="1">
      <formula>0</formula>
    </cfRule>
    <cfRule type="cellIs" priority="218" dxfId="1897" operator="greaterThan" stopIfTrue="1">
      <formula>0</formula>
    </cfRule>
  </conditionalFormatting>
  <conditionalFormatting sqref="F38">
    <cfRule type="cellIs" priority="215" dxfId="1896" operator="lessThan" stopIfTrue="1">
      <formula>0</formula>
    </cfRule>
    <cfRule type="cellIs" priority="216" dxfId="1897" operator="greaterThan" stopIfTrue="1">
      <formula>0</formula>
    </cfRule>
  </conditionalFormatting>
  <conditionalFormatting sqref="F37 F39">
    <cfRule type="cellIs" priority="213" dxfId="1896" operator="lessThan" stopIfTrue="1">
      <formula>0</formula>
    </cfRule>
    <cfRule type="cellIs" priority="214" dxfId="1897" operator="greaterThan" stopIfTrue="1">
      <formula>0</formula>
    </cfRule>
  </conditionalFormatting>
  <conditionalFormatting sqref="F38">
    <cfRule type="cellIs" priority="211" dxfId="1896" operator="lessThan" stopIfTrue="1">
      <formula>0</formula>
    </cfRule>
    <cfRule type="cellIs" priority="212" dxfId="1897" operator="greaterThan" stopIfTrue="1">
      <formula>0</formula>
    </cfRule>
  </conditionalFormatting>
  <conditionalFormatting sqref="F38">
    <cfRule type="cellIs" priority="209" dxfId="1896" operator="lessThan" stopIfTrue="1">
      <formula>0</formula>
    </cfRule>
    <cfRule type="cellIs" priority="210" dxfId="1897" operator="greaterThan" stopIfTrue="1">
      <formula>0</formula>
    </cfRule>
  </conditionalFormatting>
  <conditionalFormatting sqref="F38">
    <cfRule type="cellIs" priority="207" dxfId="1896" operator="lessThan" stopIfTrue="1">
      <formula>0</formula>
    </cfRule>
    <cfRule type="cellIs" priority="208" dxfId="1897" operator="greaterThan" stopIfTrue="1">
      <formula>0</formula>
    </cfRule>
  </conditionalFormatting>
  <conditionalFormatting sqref="F38">
    <cfRule type="cellIs" priority="205" dxfId="1896" operator="lessThan" stopIfTrue="1">
      <formula>0</formula>
    </cfRule>
    <cfRule type="cellIs" priority="206" dxfId="1897" operator="greaterThan" stopIfTrue="1">
      <formula>0</formula>
    </cfRule>
  </conditionalFormatting>
  <conditionalFormatting sqref="F38">
    <cfRule type="cellIs" priority="203" dxfId="1896" operator="lessThan" stopIfTrue="1">
      <formula>0</formula>
    </cfRule>
    <cfRule type="cellIs" priority="204" dxfId="1897" operator="greaterThan" stopIfTrue="1">
      <formula>0</formula>
    </cfRule>
  </conditionalFormatting>
  <conditionalFormatting sqref="F38">
    <cfRule type="cellIs" priority="201" dxfId="1896" operator="lessThan" stopIfTrue="1">
      <formula>0</formula>
    </cfRule>
    <cfRule type="cellIs" priority="202" dxfId="1897" operator="greaterThan" stopIfTrue="1">
      <formula>0</formula>
    </cfRule>
  </conditionalFormatting>
  <conditionalFormatting sqref="F38">
    <cfRule type="cellIs" priority="199" dxfId="1896" operator="lessThan" stopIfTrue="1">
      <formula>0</formula>
    </cfRule>
    <cfRule type="cellIs" priority="200" dxfId="1897" operator="greaterThan" stopIfTrue="1">
      <formula>0</formula>
    </cfRule>
  </conditionalFormatting>
  <conditionalFormatting sqref="F38">
    <cfRule type="cellIs" priority="197" dxfId="1896" operator="lessThan" stopIfTrue="1">
      <formula>0</formula>
    </cfRule>
    <cfRule type="cellIs" priority="198" dxfId="1897" operator="greaterThan" stopIfTrue="1">
      <formula>0</formula>
    </cfRule>
  </conditionalFormatting>
  <conditionalFormatting sqref="F50 F52 F37 F39">
    <cfRule type="cellIs" priority="195" dxfId="1896" operator="lessThan" stopIfTrue="1">
      <formula>0</formula>
    </cfRule>
    <cfRule type="cellIs" priority="196" dxfId="1897" operator="greaterThan" stopIfTrue="1">
      <formula>0</formula>
    </cfRule>
  </conditionalFormatting>
  <conditionalFormatting sqref="F38">
    <cfRule type="cellIs" priority="193" dxfId="1896" operator="lessThan" stopIfTrue="1">
      <formula>0</formula>
    </cfRule>
    <cfRule type="cellIs" priority="194" dxfId="1897" operator="greaterThan" stopIfTrue="1">
      <formula>0</formula>
    </cfRule>
  </conditionalFormatting>
  <conditionalFormatting sqref="F38">
    <cfRule type="cellIs" priority="191" dxfId="1896" operator="lessThan" stopIfTrue="1">
      <formula>0</formula>
    </cfRule>
    <cfRule type="cellIs" priority="192" dxfId="1897" operator="greaterThan" stopIfTrue="1">
      <formula>0</formula>
    </cfRule>
  </conditionalFormatting>
  <conditionalFormatting sqref="F37 F39">
    <cfRule type="cellIs" priority="189" dxfId="1896" operator="lessThan" stopIfTrue="1">
      <formula>0</formula>
    </cfRule>
    <cfRule type="cellIs" priority="190" dxfId="1897" operator="greaterThan" stopIfTrue="1">
      <formula>0</formula>
    </cfRule>
  </conditionalFormatting>
  <conditionalFormatting sqref="F38">
    <cfRule type="cellIs" priority="187" dxfId="1896" operator="lessThan" stopIfTrue="1">
      <formula>0</formula>
    </cfRule>
    <cfRule type="cellIs" priority="188" dxfId="1897" operator="greaterThan" stopIfTrue="1">
      <formula>0</formula>
    </cfRule>
  </conditionalFormatting>
  <conditionalFormatting sqref="F38">
    <cfRule type="cellIs" priority="185" dxfId="1896" operator="lessThan" stopIfTrue="1">
      <formula>0</formula>
    </cfRule>
    <cfRule type="cellIs" priority="186" dxfId="1897" operator="greaterThan" stopIfTrue="1">
      <formula>0</formula>
    </cfRule>
  </conditionalFormatting>
  <conditionalFormatting sqref="F38">
    <cfRule type="cellIs" priority="183" dxfId="1896" operator="lessThan" stopIfTrue="1">
      <formula>0</formula>
    </cfRule>
    <cfRule type="cellIs" priority="184" dxfId="1897" operator="greaterThan" stopIfTrue="1">
      <formula>0</formula>
    </cfRule>
  </conditionalFormatting>
  <conditionalFormatting sqref="F38">
    <cfRule type="cellIs" priority="181" dxfId="1896" operator="lessThan" stopIfTrue="1">
      <formula>0</formula>
    </cfRule>
    <cfRule type="cellIs" priority="182" dxfId="1897" operator="greaterThan" stopIfTrue="1">
      <formula>0</formula>
    </cfRule>
  </conditionalFormatting>
  <conditionalFormatting sqref="F38">
    <cfRule type="cellIs" priority="179" dxfId="1896" operator="lessThan" stopIfTrue="1">
      <formula>0</formula>
    </cfRule>
    <cfRule type="cellIs" priority="180" dxfId="1897" operator="greaterThan" stopIfTrue="1">
      <formula>0</formula>
    </cfRule>
  </conditionalFormatting>
  <conditionalFormatting sqref="F38">
    <cfRule type="cellIs" priority="177" dxfId="1896" operator="lessThan" stopIfTrue="1">
      <formula>0</formula>
    </cfRule>
    <cfRule type="cellIs" priority="178" dxfId="1897" operator="greaterThan" stopIfTrue="1">
      <formula>0</formula>
    </cfRule>
  </conditionalFormatting>
  <conditionalFormatting sqref="F38">
    <cfRule type="cellIs" priority="175" dxfId="1896" operator="lessThan" stopIfTrue="1">
      <formula>0</formula>
    </cfRule>
    <cfRule type="cellIs" priority="176" dxfId="1897" operator="greaterThan" stopIfTrue="1">
      <formula>0</formula>
    </cfRule>
  </conditionalFormatting>
  <conditionalFormatting sqref="F38">
    <cfRule type="cellIs" priority="173" dxfId="1896" operator="lessThan" stopIfTrue="1">
      <formula>0</formula>
    </cfRule>
    <cfRule type="cellIs" priority="174" dxfId="1897" operator="greaterThan" stopIfTrue="1">
      <formula>0</formula>
    </cfRule>
  </conditionalFormatting>
  <conditionalFormatting sqref="F50 F52 F37 F39">
    <cfRule type="cellIs" priority="171" dxfId="1896" operator="lessThan" stopIfTrue="1">
      <formula>0</formula>
    </cfRule>
    <cfRule type="cellIs" priority="172" dxfId="1897" operator="greaterThan" stopIfTrue="1">
      <formula>0</formula>
    </cfRule>
  </conditionalFormatting>
  <conditionalFormatting sqref="F37 F39">
    <cfRule type="cellIs" priority="169" dxfId="1896" operator="lessThan" stopIfTrue="1">
      <formula>0</formula>
    </cfRule>
    <cfRule type="cellIs" priority="170" dxfId="1897" operator="greaterThan" stopIfTrue="1">
      <formula>0</formula>
    </cfRule>
  </conditionalFormatting>
  <conditionalFormatting sqref="F38">
    <cfRule type="cellIs" priority="167" dxfId="1896" operator="lessThan" stopIfTrue="1">
      <formula>0</formula>
    </cfRule>
    <cfRule type="cellIs" priority="168" dxfId="1897" operator="greaterThan" stopIfTrue="1">
      <formula>0</formula>
    </cfRule>
  </conditionalFormatting>
  <conditionalFormatting sqref="F38">
    <cfRule type="cellIs" priority="165" dxfId="1896" operator="lessThan" stopIfTrue="1">
      <formula>0</formula>
    </cfRule>
    <cfRule type="cellIs" priority="166" dxfId="1897" operator="greaterThan" stopIfTrue="1">
      <formula>0</formula>
    </cfRule>
  </conditionalFormatting>
  <conditionalFormatting sqref="F38">
    <cfRule type="cellIs" priority="163" dxfId="1896" operator="lessThan" stopIfTrue="1">
      <formula>0</formula>
    </cfRule>
    <cfRule type="cellIs" priority="164" dxfId="1897" operator="greaterThan" stopIfTrue="1">
      <formula>0</formula>
    </cfRule>
  </conditionalFormatting>
  <conditionalFormatting sqref="F38">
    <cfRule type="cellIs" priority="161" dxfId="1896" operator="lessThan" stopIfTrue="1">
      <formula>0</formula>
    </cfRule>
    <cfRule type="cellIs" priority="162" dxfId="1897" operator="greaterThan" stopIfTrue="1">
      <formula>0</formula>
    </cfRule>
  </conditionalFormatting>
  <conditionalFormatting sqref="F37 F39">
    <cfRule type="cellIs" priority="159" dxfId="1896" operator="lessThan" stopIfTrue="1">
      <formula>0</formula>
    </cfRule>
    <cfRule type="cellIs" priority="160" dxfId="1897" operator="greaterThan" stopIfTrue="1">
      <formula>0</formula>
    </cfRule>
  </conditionalFormatting>
  <conditionalFormatting sqref="F38">
    <cfRule type="cellIs" priority="157" dxfId="1896" operator="lessThan" stopIfTrue="1">
      <formula>0</formula>
    </cfRule>
    <cfRule type="cellIs" priority="158" dxfId="1897" operator="greaterThan" stopIfTrue="1">
      <formula>0</formula>
    </cfRule>
  </conditionalFormatting>
  <conditionalFormatting sqref="F38">
    <cfRule type="cellIs" priority="155" dxfId="1896" operator="lessThan" stopIfTrue="1">
      <formula>0</formula>
    </cfRule>
    <cfRule type="cellIs" priority="156" dxfId="1897" operator="greaterThan" stopIfTrue="1">
      <formula>0</formula>
    </cfRule>
  </conditionalFormatting>
  <conditionalFormatting sqref="F38">
    <cfRule type="cellIs" priority="153" dxfId="1896" operator="lessThan" stopIfTrue="1">
      <formula>0</formula>
    </cfRule>
    <cfRule type="cellIs" priority="154" dxfId="1897" operator="greaterThan" stopIfTrue="1">
      <formula>0</formula>
    </cfRule>
  </conditionalFormatting>
  <conditionalFormatting sqref="F38">
    <cfRule type="cellIs" priority="151" dxfId="1896" operator="lessThan" stopIfTrue="1">
      <formula>0</formula>
    </cfRule>
    <cfRule type="cellIs" priority="152" dxfId="1897" operator="greaterThan" stopIfTrue="1">
      <formula>0</formula>
    </cfRule>
  </conditionalFormatting>
  <conditionalFormatting sqref="F38">
    <cfRule type="cellIs" priority="149" dxfId="1896" operator="lessThan" stopIfTrue="1">
      <formula>0</formula>
    </cfRule>
    <cfRule type="cellIs" priority="150" dxfId="1897" operator="greaterThan" stopIfTrue="1">
      <formula>0</formula>
    </cfRule>
  </conditionalFormatting>
  <conditionalFormatting sqref="F38">
    <cfRule type="cellIs" priority="147" dxfId="1896" operator="lessThan" stopIfTrue="1">
      <formula>0</formula>
    </cfRule>
    <cfRule type="cellIs" priority="148" dxfId="1897" operator="greaterThan" stopIfTrue="1">
      <formula>0</formula>
    </cfRule>
  </conditionalFormatting>
  <conditionalFormatting sqref="F38">
    <cfRule type="cellIs" priority="145" dxfId="1896" operator="lessThan" stopIfTrue="1">
      <formula>0</formula>
    </cfRule>
    <cfRule type="cellIs" priority="146" dxfId="1897" operator="greaterThan" stopIfTrue="1">
      <formula>0</formula>
    </cfRule>
  </conditionalFormatting>
  <conditionalFormatting sqref="F38">
    <cfRule type="cellIs" priority="143" dxfId="1896" operator="lessThan" stopIfTrue="1">
      <formula>0</formula>
    </cfRule>
    <cfRule type="cellIs" priority="144" dxfId="1897" operator="greaterThan" stopIfTrue="1">
      <formula>0</formula>
    </cfRule>
  </conditionalFormatting>
  <conditionalFormatting sqref="F50 F52 F37 F39">
    <cfRule type="cellIs" priority="141" dxfId="1896" operator="lessThan" stopIfTrue="1">
      <formula>0</formula>
    </cfRule>
    <cfRule type="cellIs" priority="142" dxfId="1897" operator="greaterThan" stopIfTrue="1">
      <formula>0</formula>
    </cfRule>
  </conditionalFormatting>
  <conditionalFormatting sqref="F37 F39">
    <cfRule type="cellIs" priority="139" dxfId="1896" operator="lessThan" stopIfTrue="1">
      <formula>0</formula>
    </cfRule>
    <cfRule type="cellIs" priority="140" dxfId="1897" operator="greaterThan" stopIfTrue="1">
      <formula>0</formula>
    </cfRule>
  </conditionalFormatting>
  <conditionalFormatting sqref="F38">
    <cfRule type="cellIs" priority="137" dxfId="1896" operator="lessThan" stopIfTrue="1">
      <formula>0</formula>
    </cfRule>
    <cfRule type="cellIs" priority="138" dxfId="1897" operator="greaterThan" stopIfTrue="1">
      <formula>0</formula>
    </cfRule>
  </conditionalFormatting>
  <conditionalFormatting sqref="F38">
    <cfRule type="cellIs" priority="135" dxfId="1896" operator="lessThan" stopIfTrue="1">
      <formula>0</formula>
    </cfRule>
    <cfRule type="cellIs" priority="136" dxfId="1897" operator="greaterThan" stopIfTrue="1">
      <formula>0</formula>
    </cfRule>
  </conditionalFormatting>
  <conditionalFormatting sqref="F38">
    <cfRule type="cellIs" priority="133" dxfId="1896" operator="lessThan" stopIfTrue="1">
      <formula>0</formula>
    </cfRule>
    <cfRule type="cellIs" priority="134" dxfId="1897" operator="greaterThan" stopIfTrue="1">
      <formula>0</formula>
    </cfRule>
  </conditionalFormatting>
  <conditionalFormatting sqref="F38">
    <cfRule type="cellIs" priority="131" dxfId="1896" operator="lessThan" stopIfTrue="1">
      <formula>0</formula>
    </cfRule>
    <cfRule type="cellIs" priority="132" dxfId="1897" operator="greaterThan" stopIfTrue="1">
      <formula>0</formula>
    </cfRule>
  </conditionalFormatting>
  <conditionalFormatting sqref="F37 F39">
    <cfRule type="cellIs" priority="129" dxfId="1896" operator="lessThan" stopIfTrue="1">
      <formula>0</formula>
    </cfRule>
    <cfRule type="cellIs" priority="130" dxfId="1897" operator="greaterThan" stopIfTrue="1">
      <formula>0</formula>
    </cfRule>
  </conditionalFormatting>
  <conditionalFormatting sqref="F38">
    <cfRule type="cellIs" priority="127" dxfId="1896" operator="lessThan" stopIfTrue="1">
      <formula>0</formula>
    </cfRule>
    <cfRule type="cellIs" priority="128" dxfId="1897" operator="greaterThan" stopIfTrue="1">
      <formula>0</formula>
    </cfRule>
  </conditionalFormatting>
  <conditionalFormatting sqref="F38">
    <cfRule type="cellIs" priority="125" dxfId="1896" operator="lessThan" stopIfTrue="1">
      <formula>0</formula>
    </cfRule>
    <cfRule type="cellIs" priority="126" dxfId="1897" operator="greaterThan" stopIfTrue="1">
      <formula>0</formula>
    </cfRule>
  </conditionalFormatting>
  <conditionalFormatting sqref="F38">
    <cfRule type="cellIs" priority="123" dxfId="1896" operator="lessThan" stopIfTrue="1">
      <formula>0</formula>
    </cfRule>
    <cfRule type="cellIs" priority="124" dxfId="1897" operator="greaterThan" stopIfTrue="1">
      <formula>0</formula>
    </cfRule>
  </conditionalFormatting>
  <conditionalFormatting sqref="F38">
    <cfRule type="cellIs" priority="121" dxfId="1896" operator="lessThan" stopIfTrue="1">
      <formula>0</formula>
    </cfRule>
    <cfRule type="cellIs" priority="122" dxfId="1897" operator="greaterThan" stopIfTrue="1">
      <formula>0</formula>
    </cfRule>
  </conditionalFormatting>
  <conditionalFormatting sqref="F38">
    <cfRule type="cellIs" priority="119" dxfId="1896" operator="lessThan" stopIfTrue="1">
      <formula>0</formula>
    </cfRule>
    <cfRule type="cellIs" priority="120" dxfId="1897" operator="greaterThan" stopIfTrue="1">
      <formula>0</formula>
    </cfRule>
  </conditionalFormatting>
  <conditionalFormatting sqref="F38">
    <cfRule type="cellIs" priority="117" dxfId="1896" operator="lessThan" stopIfTrue="1">
      <formula>0</formula>
    </cfRule>
    <cfRule type="cellIs" priority="118" dxfId="1897" operator="greaterThan" stopIfTrue="1">
      <formula>0</formula>
    </cfRule>
  </conditionalFormatting>
  <conditionalFormatting sqref="F38">
    <cfRule type="cellIs" priority="115" dxfId="1896" operator="lessThan" stopIfTrue="1">
      <formula>0</formula>
    </cfRule>
    <cfRule type="cellIs" priority="116" dxfId="1897" operator="greaterThan" stopIfTrue="1">
      <formula>0</formula>
    </cfRule>
  </conditionalFormatting>
  <conditionalFormatting sqref="F38">
    <cfRule type="cellIs" priority="113" dxfId="1896" operator="lessThan" stopIfTrue="1">
      <formula>0</formula>
    </cfRule>
    <cfRule type="cellIs" priority="114" dxfId="1897" operator="greaterThan" stopIfTrue="1">
      <formula>0</formula>
    </cfRule>
  </conditionalFormatting>
  <conditionalFormatting sqref="F50 F52 F37 F39">
    <cfRule type="cellIs" priority="111" dxfId="1896" operator="lessThan" stopIfTrue="1">
      <formula>0</formula>
    </cfRule>
    <cfRule type="cellIs" priority="112" dxfId="1897" operator="greaterThan" stopIfTrue="1">
      <formula>0</formula>
    </cfRule>
  </conditionalFormatting>
  <conditionalFormatting sqref="F38">
    <cfRule type="cellIs" priority="109" dxfId="1896" operator="lessThan" stopIfTrue="1">
      <formula>0</formula>
    </cfRule>
    <cfRule type="cellIs" priority="110" dxfId="1897" operator="greaterThan" stopIfTrue="1">
      <formula>0</formula>
    </cfRule>
  </conditionalFormatting>
  <conditionalFormatting sqref="F38">
    <cfRule type="cellIs" priority="107" dxfId="1896" operator="lessThan" stopIfTrue="1">
      <formula>0</formula>
    </cfRule>
    <cfRule type="cellIs" priority="108" dxfId="1897" operator="greaterThan" stopIfTrue="1">
      <formula>0</formula>
    </cfRule>
  </conditionalFormatting>
  <conditionalFormatting sqref="F37 F39">
    <cfRule type="cellIs" priority="105" dxfId="1896" operator="lessThan" stopIfTrue="1">
      <formula>0</formula>
    </cfRule>
    <cfRule type="cellIs" priority="106" dxfId="1897" operator="greaterThan" stopIfTrue="1">
      <formula>0</formula>
    </cfRule>
  </conditionalFormatting>
  <conditionalFormatting sqref="F38">
    <cfRule type="cellIs" priority="103" dxfId="1896" operator="lessThan" stopIfTrue="1">
      <formula>0</formula>
    </cfRule>
    <cfRule type="cellIs" priority="104" dxfId="1897" operator="greaterThan" stopIfTrue="1">
      <formula>0</formula>
    </cfRule>
  </conditionalFormatting>
  <conditionalFormatting sqref="F38">
    <cfRule type="cellIs" priority="101" dxfId="1896" operator="lessThan" stopIfTrue="1">
      <formula>0</formula>
    </cfRule>
    <cfRule type="cellIs" priority="102" dxfId="1897" operator="greaterThan" stopIfTrue="1">
      <formula>0</formula>
    </cfRule>
  </conditionalFormatting>
  <conditionalFormatting sqref="F38">
    <cfRule type="cellIs" priority="99" dxfId="1896" operator="lessThan" stopIfTrue="1">
      <formula>0</formula>
    </cfRule>
    <cfRule type="cellIs" priority="100" dxfId="1897" operator="greaterThan" stopIfTrue="1">
      <formula>0</formula>
    </cfRule>
  </conditionalFormatting>
  <conditionalFormatting sqref="F38">
    <cfRule type="cellIs" priority="97" dxfId="1896" operator="lessThan" stopIfTrue="1">
      <formula>0</formula>
    </cfRule>
    <cfRule type="cellIs" priority="98" dxfId="1897" operator="greaterThan" stopIfTrue="1">
      <formula>0</formula>
    </cfRule>
  </conditionalFormatting>
  <conditionalFormatting sqref="F38">
    <cfRule type="cellIs" priority="95" dxfId="1896" operator="lessThan" stopIfTrue="1">
      <formula>0</formula>
    </cfRule>
    <cfRule type="cellIs" priority="96" dxfId="1897" operator="greaterThan" stopIfTrue="1">
      <formula>0</formula>
    </cfRule>
  </conditionalFormatting>
  <conditionalFormatting sqref="F38">
    <cfRule type="cellIs" priority="93" dxfId="1896" operator="lessThan" stopIfTrue="1">
      <formula>0</formula>
    </cfRule>
    <cfRule type="cellIs" priority="94" dxfId="1897" operator="greaterThan" stopIfTrue="1">
      <formula>0</formula>
    </cfRule>
  </conditionalFormatting>
  <conditionalFormatting sqref="F38">
    <cfRule type="cellIs" priority="91" dxfId="1896" operator="lessThan" stopIfTrue="1">
      <formula>0</formula>
    </cfRule>
    <cfRule type="cellIs" priority="92" dxfId="1897" operator="greaterThan" stopIfTrue="1">
      <formula>0</formula>
    </cfRule>
  </conditionalFormatting>
  <conditionalFormatting sqref="F38">
    <cfRule type="cellIs" priority="89" dxfId="1896" operator="lessThan" stopIfTrue="1">
      <formula>0</formula>
    </cfRule>
    <cfRule type="cellIs" priority="90" dxfId="1897" operator="greaterThan" stopIfTrue="1">
      <formula>0</formula>
    </cfRule>
  </conditionalFormatting>
  <conditionalFormatting sqref="F50 F52 F37 F39">
    <cfRule type="cellIs" priority="87" dxfId="1896" operator="lessThan" stopIfTrue="1">
      <formula>0</formula>
    </cfRule>
    <cfRule type="cellIs" priority="88" dxfId="1897" operator="greaterThan" stopIfTrue="1">
      <formula>0</formula>
    </cfRule>
  </conditionalFormatting>
  <conditionalFormatting sqref="F37 F39">
    <cfRule type="cellIs" priority="85" dxfId="1896" operator="lessThan" stopIfTrue="1">
      <formula>0</formula>
    </cfRule>
    <cfRule type="cellIs" priority="86" dxfId="1897" operator="greaterThan" stopIfTrue="1">
      <formula>0</formula>
    </cfRule>
  </conditionalFormatting>
  <conditionalFormatting sqref="F38">
    <cfRule type="cellIs" priority="83" dxfId="1896" operator="lessThan" stopIfTrue="1">
      <formula>0</formula>
    </cfRule>
    <cfRule type="cellIs" priority="84" dxfId="1897" operator="greaterThan" stopIfTrue="1">
      <formula>0</formula>
    </cfRule>
  </conditionalFormatting>
  <conditionalFormatting sqref="F38">
    <cfRule type="cellIs" priority="81" dxfId="1896" operator="lessThan" stopIfTrue="1">
      <formula>0</formula>
    </cfRule>
    <cfRule type="cellIs" priority="82" dxfId="1897" operator="greaterThan" stopIfTrue="1">
      <formula>0</formula>
    </cfRule>
  </conditionalFormatting>
  <conditionalFormatting sqref="F38">
    <cfRule type="cellIs" priority="79" dxfId="1896" operator="lessThan" stopIfTrue="1">
      <formula>0</formula>
    </cfRule>
    <cfRule type="cellIs" priority="80" dxfId="1897" operator="greaterThan" stopIfTrue="1">
      <formula>0</formula>
    </cfRule>
  </conditionalFormatting>
  <conditionalFormatting sqref="F38">
    <cfRule type="cellIs" priority="77" dxfId="1896" operator="lessThan" stopIfTrue="1">
      <formula>0</formula>
    </cfRule>
    <cfRule type="cellIs" priority="78" dxfId="1897" operator="greaterThan" stopIfTrue="1">
      <formula>0</formula>
    </cfRule>
  </conditionalFormatting>
  <conditionalFormatting sqref="F37 F39">
    <cfRule type="cellIs" priority="75" dxfId="1896" operator="lessThan" stopIfTrue="1">
      <formula>0</formula>
    </cfRule>
    <cfRule type="cellIs" priority="76" dxfId="1897" operator="greaterThan" stopIfTrue="1">
      <formula>0</formula>
    </cfRule>
  </conditionalFormatting>
  <conditionalFormatting sqref="F38">
    <cfRule type="cellIs" priority="73" dxfId="1896" operator="lessThan" stopIfTrue="1">
      <formula>0</formula>
    </cfRule>
    <cfRule type="cellIs" priority="74" dxfId="1897" operator="greaterThan" stopIfTrue="1">
      <formula>0</formula>
    </cfRule>
  </conditionalFormatting>
  <conditionalFormatting sqref="F38">
    <cfRule type="cellIs" priority="71" dxfId="1896" operator="lessThan" stopIfTrue="1">
      <formula>0</formula>
    </cfRule>
    <cfRule type="cellIs" priority="72" dxfId="1897" operator="greaterThan" stopIfTrue="1">
      <formula>0</formula>
    </cfRule>
  </conditionalFormatting>
  <conditionalFormatting sqref="F38">
    <cfRule type="cellIs" priority="69" dxfId="1896" operator="lessThan" stopIfTrue="1">
      <formula>0</formula>
    </cfRule>
    <cfRule type="cellIs" priority="70" dxfId="1897" operator="greaterThan" stopIfTrue="1">
      <formula>0</formula>
    </cfRule>
  </conditionalFormatting>
  <conditionalFormatting sqref="F38">
    <cfRule type="cellIs" priority="67" dxfId="1896" operator="lessThan" stopIfTrue="1">
      <formula>0</formula>
    </cfRule>
    <cfRule type="cellIs" priority="68" dxfId="1897" operator="greaterThan" stopIfTrue="1">
      <formula>0</formula>
    </cfRule>
  </conditionalFormatting>
  <conditionalFormatting sqref="F38">
    <cfRule type="cellIs" priority="65" dxfId="1896" operator="lessThan" stopIfTrue="1">
      <formula>0</formula>
    </cfRule>
    <cfRule type="cellIs" priority="66" dxfId="1897" operator="greaterThan" stopIfTrue="1">
      <formula>0</formula>
    </cfRule>
  </conditionalFormatting>
  <conditionalFormatting sqref="F38">
    <cfRule type="cellIs" priority="63" dxfId="1896" operator="lessThan" stopIfTrue="1">
      <formula>0</formula>
    </cfRule>
    <cfRule type="cellIs" priority="64" dxfId="1897" operator="greaterThan" stopIfTrue="1">
      <formula>0</formula>
    </cfRule>
  </conditionalFormatting>
  <conditionalFormatting sqref="F38">
    <cfRule type="cellIs" priority="61" dxfId="1896" operator="lessThan" stopIfTrue="1">
      <formula>0</formula>
    </cfRule>
    <cfRule type="cellIs" priority="62" dxfId="1897" operator="greaterThan" stopIfTrue="1">
      <formula>0</formula>
    </cfRule>
  </conditionalFormatting>
  <conditionalFormatting sqref="F38">
    <cfRule type="cellIs" priority="59" dxfId="1896" operator="lessThan" stopIfTrue="1">
      <formula>0</formula>
    </cfRule>
    <cfRule type="cellIs" priority="60" dxfId="1897" operator="greaterThan" stopIfTrue="1">
      <formula>0</formula>
    </cfRule>
  </conditionalFormatting>
  <conditionalFormatting sqref="F50 F52 F37 F39">
    <cfRule type="cellIs" priority="57" dxfId="1896" operator="lessThan" stopIfTrue="1">
      <formula>0</formula>
    </cfRule>
    <cfRule type="cellIs" priority="58" dxfId="1897" operator="greaterThan" stopIfTrue="1">
      <formula>0</formula>
    </cfRule>
  </conditionalFormatting>
  <conditionalFormatting sqref="F38">
    <cfRule type="cellIs" priority="55" dxfId="1896" operator="lessThan" stopIfTrue="1">
      <formula>0</formula>
    </cfRule>
    <cfRule type="cellIs" priority="56" dxfId="1897" operator="greaterThan" stopIfTrue="1">
      <formula>0</formula>
    </cfRule>
  </conditionalFormatting>
  <conditionalFormatting sqref="F38">
    <cfRule type="cellIs" priority="53" dxfId="1896" operator="lessThan" stopIfTrue="1">
      <formula>0</formula>
    </cfRule>
    <cfRule type="cellIs" priority="54" dxfId="1897" operator="greaterThan" stopIfTrue="1">
      <formula>0</formula>
    </cfRule>
  </conditionalFormatting>
  <conditionalFormatting sqref="F37 F39">
    <cfRule type="cellIs" priority="51" dxfId="1896" operator="lessThan" stopIfTrue="1">
      <formula>0</formula>
    </cfRule>
    <cfRule type="cellIs" priority="52" dxfId="1897" operator="greaterThan" stopIfTrue="1">
      <formula>0</formula>
    </cfRule>
  </conditionalFormatting>
  <conditionalFormatting sqref="F38">
    <cfRule type="cellIs" priority="49" dxfId="1896" operator="lessThan" stopIfTrue="1">
      <formula>0</formula>
    </cfRule>
    <cfRule type="cellIs" priority="50" dxfId="1897" operator="greaterThan" stopIfTrue="1">
      <formula>0</formula>
    </cfRule>
  </conditionalFormatting>
  <conditionalFormatting sqref="F38">
    <cfRule type="cellIs" priority="47" dxfId="1896" operator="lessThan" stopIfTrue="1">
      <formula>0</formula>
    </cfRule>
    <cfRule type="cellIs" priority="48" dxfId="1897" operator="greaterThan" stopIfTrue="1">
      <formula>0</formula>
    </cfRule>
  </conditionalFormatting>
  <conditionalFormatting sqref="F38">
    <cfRule type="cellIs" priority="45" dxfId="1896" operator="lessThan" stopIfTrue="1">
      <formula>0</formula>
    </cfRule>
    <cfRule type="cellIs" priority="46" dxfId="1897" operator="greaterThan" stopIfTrue="1">
      <formula>0</formula>
    </cfRule>
  </conditionalFormatting>
  <conditionalFormatting sqref="F38">
    <cfRule type="cellIs" priority="43" dxfId="1896" operator="lessThan" stopIfTrue="1">
      <formula>0</formula>
    </cfRule>
    <cfRule type="cellIs" priority="44" dxfId="1897" operator="greaterThan" stopIfTrue="1">
      <formula>0</formula>
    </cfRule>
  </conditionalFormatting>
  <conditionalFormatting sqref="F38">
    <cfRule type="cellIs" priority="41" dxfId="1896" operator="lessThan" stopIfTrue="1">
      <formula>0</formula>
    </cfRule>
    <cfRule type="cellIs" priority="42" dxfId="1897" operator="greaterThan" stopIfTrue="1">
      <formula>0</formula>
    </cfRule>
  </conditionalFormatting>
  <conditionalFormatting sqref="F38">
    <cfRule type="cellIs" priority="39" dxfId="1896" operator="lessThan" stopIfTrue="1">
      <formula>0</formula>
    </cfRule>
    <cfRule type="cellIs" priority="40" dxfId="1897" operator="greaterThan" stopIfTrue="1">
      <formula>0</formula>
    </cfRule>
  </conditionalFormatting>
  <conditionalFormatting sqref="F38">
    <cfRule type="cellIs" priority="37" dxfId="1896" operator="lessThan" stopIfTrue="1">
      <formula>0</formula>
    </cfRule>
    <cfRule type="cellIs" priority="38" dxfId="1897" operator="greaterThan" stopIfTrue="1">
      <formula>0</formula>
    </cfRule>
  </conditionalFormatting>
  <conditionalFormatting sqref="F38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50 F52 F37 F39">
    <cfRule type="cellIs" priority="33" dxfId="1896" operator="lessThan" stopIfTrue="1">
      <formula>0</formula>
    </cfRule>
    <cfRule type="cellIs" priority="34" dxfId="1897" operator="greaterThan" stopIfTrue="1">
      <formula>0</formula>
    </cfRule>
  </conditionalFormatting>
  <conditionalFormatting sqref="F38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8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7 F39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8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38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38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38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8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8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8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8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52 F37 F39 F5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8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8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8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8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5" r:id="rId1"/>
  <ignoredErrors>
    <ignoredError sqref="D9 D11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N61"/>
  <sheetViews>
    <sheetView showGridLines="0" showZeros="0" zoomScale="90" zoomScaleNormal="90" zoomScalePageLayoutView="0" workbookViewId="0" topLeftCell="A2">
      <pane ySplit="9" topLeftCell="A11" activePane="bottomLeft" state="frozen"/>
      <selection pane="topLeft" activeCell="A2" sqref="A2"/>
      <selection pane="bottomLeft" activeCell="B3" sqref="B3:G3"/>
    </sheetView>
  </sheetViews>
  <sheetFormatPr defaultColWidth="11.421875" defaultRowHeight="15"/>
  <cols>
    <col min="1" max="1" width="3.28125" style="0" customWidth="1"/>
    <col min="2" max="2" width="42.57421875" style="0" customWidth="1"/>
    <col min="3" max="3" width="11.7109375" style="0" customWidth="1"/>
    <col min="4" max="4" width="14.7109375" style="0" customWidth="1"/>
    <col min="5" max="5" width="2.00390625" style="0" customWidth="1"/>
    <col min="6" max="6" width="39.8515625" style="0" customWidth="1"/>
    <col min="7" max="7" width="16.7109375" style="0" customWidth="1"/>
    <col min="8" max="8" width="31.28125" style="0" customWidth="1"/>
    <col min="9" max="9" width="12.8515625" style="0" customWidth="1"/>
  </cols>
  <sheetData>
    <row r="1" ht="6" customHeight="1" hidden="1"/>
    <row r="2" spans="2:9" ht="22.5">
      <c r="B2" s="515" t="s">
        <v>76</v>
      </c>
      <c r="C2" s="515"/>
      <c r="D2" s="515"/>
      <c r="E2" s="515"/>
      <c r="F2" s="515"/>
      <c r="G2" s="515"/>
      <c r="H2" s="119"/>
      <c r="I2" s="119"/>
    </row>
    <row r="3" spans="2:9" ht="21.75" customHeight="1">
      <c r="B3" s="463" t="s">
        <v>62</v>
      </c>
      <c r="C3" s="463"/>
      <c r="D3" s="463"/>
      <c r="E3" s="463"/>
      <c r="F3" s="463"/>
      <c r="G3" s="463"/>
      <c r="H3" s="42"/>
      <c r="I3" s="42"/>
    </row>
    <row r="4" spans="2:9" ht="20.25">
      <c r="B4" s="516" t="str">
        <f>1!I4</f>
        <v>Tomates beefsteak</v>
      </c>
      <c r="C4" s="516"/>
      <c r="D4" s="516"/>
      <c r="E4" s="516"/>
      <c r="F4" s="516"/>
      <c r="G4" s="516"/>
      <c r="H4" s="118"/>
      <c r="I4" s="118"/>
    </row>
    <row r="5" spans="2:7" ht="15.75" thickBot="1">
      <c r="B5" s="336"/>
      <c r="C5" s="410">
        <f>1!$C$5</f>
        <v>8</v>
      </c>
      <c r="D5" s="530" t="s">
        <v>149</v>
      </c>
      <c r="E5" s="530"/>
      <c r="F5" s="530"/>
      <c r="G5" s="530"/>
    </row>
    <row r="6" spans="2:7" ht="15.75">
      <c r="B6" s="201" t="s">
        <v>87</v>
      </c>
      <c r="C6" s="202"/>
      <c r="D6" s="203" t="s">
        <v>7</v>
      </c>
      <c r="E6" s="204"/>
      <c r="F6" s="205" t="s">
        <v>22</v>
      </c>
      <c r="G6" s="206" t="s">
        <v>8</v>
      </c>
    </row>
    <row r="7" spans="2:9" ht="15.75">
      <c r="B7" s="207" t="s">
        <v>1</v>
      </c>
      <c r="C7" s="208"/>
      <c r="D7" s="209">
        <f>(1!D13+2!D13+3!D13+4!D13+5!D13+6!D13+7!D13+8!D13+9!D13+'10'!D13)</f>
        <v>99.00000000000001</v>
      </c>
      <c r="E7" s="210"/>
      <c r="F7" s="211" t="s">
        <v>2</v>
      </c>
      <c r="G7" s="212">
        <f>(1!F13+2!F13+3!F13+4!F13+5!F13+6!F13+7!F13+8!F13+9!F13+'10'!F13)</f>
        <v>0</v>
      </c>
      <c r="H7" s="79"/>
      <c r="I7" s="251">
        <f>1!F25+2!F25+3!F25+4!F25+5!F25+6!F25+7!F25+8!F25+9!F25+'10'!F25</f>
        <v>612.1661676968496</v>
      </c>
    </row>
    <row r="8" spans="2:7" ht="3.75" customHeight="1" thickBot="1">
      <c r="B8" s="57"/>
      <c r="C8" s="9"/>
      <c r="D8" s="373"/>
      <c r="E8" s="9"/>
      <c r="F8" s="9"/>
      <c r="G8" s="374"/>
    </row>
    <row r="9" spans="2:9" ht="34.5" customHeight="1" thickBot="1">
      <c r="B9" s="533" t="s">
        <v>74</v>
      </c>
      <c r="C9" s="534"/>
      <c r="D9" s="534"/>
      <c r="E9" s="189"/>
      <c r="F9" s="537" t="s">
        <v>95</v>
      </c>
      <c r="G9" s="538"/>
      <c r="H9" s="120"/>
      <c r="I9" s="120"/>
    </row>
    <row r="10" spans="2:9" ht="16.5" customHeight="1">
      <c r="B10" s="528" t="s">
        <v>57</v>
      </c>
      <c r="C10" s="328" t="s">
        <v>136</v>
      </c>
      <c r="D10" s="329" t="s">
        <v>137</v>
      </c>
      <c r="E10" s="330"/>
      <c r="F10" s="331"/>
      <c r="G10" s="332" t="s">
        <v>137</v>
      </c>
      <c r="H10" s="121"/>
      <c r="I10" s="121"/>
    </row>
    <row r="11" spans="2:9" s="136" customFormat="1" ht="15" customHeight="1">
      <c r="B11" s="529"/>
      <c r="C11" s="77"/>
      <c r="D11" s="137"/>
      <c r="E11" s="137"/>
      <c r="F11" s="137"/>
      <c r="G11" s="138"/>
      <c r="H11" s="139"/>
      <c r="I11" s="139"/>
    </row>
    <row r="12" spans="1:14" s="136" customFormat="1" ht="15" customHeight="1">
      <c r="A12" s="136">
        <v>1</v>
      </c>
      <c r="B12" s="140" t="str">
        <f>1!C$6</f>
        <v>Position des tubes perforés et supports de tiges</v>
      </c>
      <c r="C12" s="141">
        <f>1!C$18</f>
        <v>0.17</v>
      </c>
      <c r="D12" s="270">
        <f aca="true" t="shared" si="0" ref="D12:D21">C12*$C$49</f>
        <v>2.21</v>
      </c>
      <c r="E12" s="270"/>
      <c r="F12" s="270"/>
      <c r="G12" s="262">
        <f>_xlfn.IFERROR(1!F$25*C12/(C12+C26)," ")</f>
        <v>0.42382498423881837</v>
      </c>
      <c r="H12" s="122"/>
      <c r="I12" s="122"/>
      <c r="K12" s="136">
        <f>1!C27+2!C27+3!C27+4!C27+5!C27+6!C27+7!C27+8!C27+9!C27+'10'!C27</f>
        <v>0</v>
      </c>
      <c r="L12" s="155">
        <f>1!$F$8</f>
        <v>8</v>
      </c>
      <c r="M12" s="155">
        <f>1!$F$7</f>
        <v>250</v>
      </c>
      <c r="N12" s="155">
        <f>M12*L12</f>
        <v>2000</v>
      </c>
    </row>
    <row r="13" spans="1:14" s="136" customFormat="1" ht="15" customHeight="1">
      <c r="A13" s="136">
        <v>2</v>
      </c>
      <c r="B13" s="140" t="str">
        <f>2!C$6</f>
        <v>Rails de guidage</v>
      </c>
      <c r="C13" s="141">
        <f>2!C$18</f>
        <v>0.95</v>
      </c>
      <c r="D13" s="270">
        <f t="shared" si="0"/>
        <v>12.35</v>
      </c>
      <c r="E13" s="270"/>
      <c r="F13" s="270"/>
      <c r="G13" s="262">
        <f>_xlfn.IFERROR(2!F$25*C13/(C13+C27)," ")</f>
        <v>8.337915107211536</v>
      </c>
      <c r="H13" s="122"/>
      <c r="I13" s="122"/>
      <c r="L13" s="155">
        <f>2!$F$8</f>
        <v>20</v>
      </c>
      <c r="M13" s="155">
        <f>2!$F$7</f>
        <v>6240</v>
      </c>
      <c r="N13" s="155">
        <f aca="true" t="shared" si="1" ref="N13:N21">M13*L13</f>
        <v>124800</v>
      </c>
    </row>
    <row r="14" spans="1:14" s="136" customFormat="1" ht="15" customHeight="1">
      <c r="A14" s="136">
        <v>3</v>
      </c>
      <c r="B14" s="140" t="str">
        <f>3!C$6</f>
        <v>Goutières suspendues</v>
      </c>
      <c r="C14" s="141">
        <f>3!C$18</f>
        <v>0.83</v>
      </c>
      <c r="D14" s="270">
        <f t="shared" si="0"/>
        <v>10.79</v>
      </c>
      <c r="E14" s="270"/>
      <c r="F14" s="270"/>
      <c r="G14" s="262">
        <f>_xlfn.IFERROR(3!F$25*C14/(C14+C28)," ")</f>
        <v>12.98720860811392</v>
      </c>
      <c r="H14" s="122"/>
      <c r="I14" s="122"/>
      <c r="L14" s="155">
        <f>3!$F$8</f>
        <v>15</v>
      </c>
      <c r="M14" s="155">
        <f>3!$F$7</f>
        <v>7000</v>
      </c>
      <c r="N14" s="155">
        <f t="shared" si="1"/>
        <v>105000</v>
      </c>
    </row>
    <row r="15" spans="1:14" s="136" customFormat="1" ht="15" customHeight="1">
      <c r="A15" s="136">
        <v>4</v>
      </c>
      <c r="B15" s="140" t="str">
        <f>4!C$6</f>
        <v>Tablier de travail</v>
      </c>
      <c r="C15" s="141">
        <f>4!C$18</f>
        <v>0.22</v>
      </c>
      <c r="D15" s="270">
        <f t="shared" si="0"/>
        <v>2.86</v>
      </c>
      <c r="E15" s="270"/>
      <c r="F15" s="270"/>
      <c r="G15" s="262">
        <f>_xlfn.IFERROR(4!F$25*C15/(C15+C29)," ")</f>
        <v>0.783050847457627</v>
      </c>
      <c r="H15" s="122"/>
      <c r="I15" s="122"/>
      <c r="L15" s="155">
        <f>4!$F$8</f>
        <v>1</v>
      </c>
      <c r="M15" s="155">
        <f>4!$F$7</f>
        <v>20</v>
      </c>
      <c r="N15" s="155">
        <f t="shared" si="1"/>
        <v>20</v>
      </c>
    </row>
    <row r="16" spans="1:14" s="136" customFormat="1" ht="15" customHeight="1">
      <c r="A16" s="136">
        <v>5</v>
      </c>
      <c r="B16" s="140" t="str">
        <f>5!C$6</f>
        <v>Chariot d'outils spécialisés</v>
      </c>
      <c r="C16" s="141">
        <f>5!C$18</f>
        <v>0.03</v>
      </c>
      <c r="D16" s="270">
        <f t="shared" si="0"/>
        <v>0.39</v>
      </c>
      <c r="E16" s="270"/>
      <c r="F16" s="270"/>
      <c r="G16" s="262">
        <f>_xlfn.IFERROR(5!F$25*C16/(C16+C30)," ")</f>
        <v>0.6422819173949624</v>
      </c>
      <c r="H16" s="122"/>
      <c r="I16" s="122"/>
      <c r="L16" s="155">
        <f>5!$F$8</f>
        <v>15</v>
      </c>
      <c r="M16" s="155">
        <f>5!$F$7</f>
        <v>300</v>
      </c>
      <c r="N16" s="155">
        <f t="shared" si="1"/>
        <v>4500</v>
      </c>
    </row>
    <row r="17" spans="1:14" s="136" customFormat="1" ht="15" customHeight="1">
      <c r="A17" s="136">
        <v>6</v>
      </c>
      <c r="B17" s="140" t="str">
        <f>6!C$6</f>
        <v>Chariot de récolte</v>
      </c>
      <c r="C17" s="141">
        <f>6!C$18</f>
        <v>0.88</v>
      </c>
      <c r="D17" s="270">
        <f t="shared" si="0"/>
        <v>11.44</v>
      </c>
      <c r="E17" s="270"/>
      <c r="F17" s="270"/>
      <c r="G17" s="262">
        <f>_xlfn.IFERROR(6!F$25*C17/(C17+C31)," ")</f>
        <v>1.885044052352317</v>
      </c>
      <c r="H17" s="122"/>
      <c r="I17" s="122"/>
      <c r="L17" s="155">
        <f>6!$F$8</f>
        <v>8</v>
      </c>
      <c r="M17" s="155">
        <f>6!$F$7</f>
        <v>500</v>
      </c>
      <c r="N17" s="155">
        <f t="shared" si="1"/>
        <v>4000</v>
      </c>
    </row>
    <row r="18" spans="1:14" s="136" customFormat="1" ht="15" customHeight="1">
      <c r="A18" s="136">
        <v>7</v>
      </c>
      <c r="B18" s="140" t="str">
        <f>7!C$6</f>
        <v>Chariot de travail en hauteur</v>
      </c>
      <c r="C18" s="141">
        <f>7!C$18</f>
        <v>0.29</v>
      </c>
      <c r="D18" s="270">
        <f t="shared" si="0"/>
        <v>3.7699999999999996</v>
      </c>
      <c r="E18" s="270"/>
      <c r="F18" s="270"/>
      <c r="G18" s="262">
        <f>_xlfn.IFERROR(7!F$25*C18/(C18+C32)," ")</f>
        <v>1.593154605661283</v>
      </c>
      <c r="H18" s="122"/>
      <c r="I18" s="122"/>
      <c r="L18" s="155">
        <f>7!$F$8</f>
        <v>10</v>
      </c>
      <c r="M18" s="155">
        <f>7!$F$7</f>
        <v>6000</v>
      </c>
      <c r="N18" s="155">
        <f t="shared" si="1"/>
        <v>60000</v>
      </c>
    </row>
    <row r="19" spans="1:14" s="136" customFormat="1" ht="15" customHeight="1">
      <c r="A19" s="136">
        <v>8</v>
      </c>
      <c r="B19" s="140" t="str">
        <f>8!C$6</f>
        <v>Transpalette</v>
      </c>
      <c r="C19" s="141">
        <f>8!C$18</f>
        <v>0.19</v>
      </c>
      <c r="D19" s="270">
        <f t="shared" si="0"/>
        <v>2.47</v>
      </c>
      <c r="E19" s="270"/>
      <c r="F19" s="270"/>
      <c r="G19" s="262">
        <f>_xlfn.IFERROR(8!F$25*C19/(C19+C33)," ")</f>
        <v>1.2192016362302147</v>
      </c>
      <c r="H19" s="122"/>
      <c r="I19" s="122"/>
      <c r="L19" s="155">
        <f>8!$F$8</f>
        <v>10</v>
      </c>
      <c r="M19" s="155">
        <f>8!$F$7</f>
        <v>350</v>
      </c>
      <c r="N19" s="155">
        <f t="shared" si="1"/>
        <v>3500</v>
      </c>
    </row>
    <row r="20" spans="1:14" s="136" customFormat="1" ht="15" customHeight="1">
      <c r="A20" s="136">
        <v>9</v>
      </c>
      <c r="B20" s="140" t="str">
        <f>9!C$6</f>
        <v>Pulvérisateur </v>
      </c>
      <c r="C20" s="141">
        <f>9!C$18</f>
        <v>2</v>
      </c>
      <c r="D20" s="270">
        <f t="shared" si="0"/>
        <v>26</v>
      </c>
      <c r="E20" s="270"/>
      <c r="F20" s="270"/>
      <c r="G20" s="262">
        <f>_xlfn.IFERROR(9!F$25*C20/(C20+C34)," ")</f>
        <v>17.802106608144463</v>
      </c>
      <c r="H20" s="122"/>
      <c r="I20" s="122"/>
      <c r="L20" s="155">
        <f>9!$F$8</f>
        <v>10</v>
      </c>
      <c r="M20" s="155">
        <f>9!$F$7</f>
        <v>3000</v>
      </c>
      <c r="N20" s="155">
        <f t="shared" si="1"/>
        <v>30000</v>
      </c>
    </row>
    <row r="21" spans="1:14" s="136" customFormat="1" ht="15" customHeight="1">
      <c r="A21" s="136">
        <v>10</v>
      </c>
      <c r="B21" s="140" t="str">
        <f>'10'!C$6</f>
        <v>Broche de transition pour l'abaissage</v>
      </c>
      <c r="C21" s="141">
        <f>'10'!C$18</f>
        <v>0.01</v>
      </c>
      <c r="D21" s="270">
        <f t="shared" si="0"/>
        <v>0.13</v>
      </c>
      <c r="E21" s="270"/>
      <c r="F21" s="270"/>
      <c r="G21" s="262">
        <f>_xlfn.IFERROR('10'!F$25*C21/(C21+C35)," ")</f>
        <v>0.0891584302118792</v>
      </c>
      <c r="H21" s="122"/>
      <c r="I21" s="122"/>
      <c r="L21" s="155">
        <f>'10'!$F$8</f>
        <v>20</v>
      </c>
      <c r="M21" s="155">
        <f>'10'!$F$7</f>
        <v>100</v>
      </c>
      <c r="N21" s="155">
        <f t="shared" si="1"/>
        <v>2000</v>
      </c>
    </row>
    <row r="22" spans="2:14" s="136" customFormat="1" ht="4.5" customHeight="1">
      <c r="B22" s="140"/>
      <c r="C22" s="144"/>
      <c r="D22" s="137"/>
      <c r="E22" s="137"/>
      <c r="F22" s="137"/>
      <c r="G22" s="138"/>
      <c r="H22" s="139"/>
      <c r="I22" s="139"/>
      <c r="N22" s="155"/>
    </row>
    <row r="23" spans="2:14" s="136" customFormat="1" ht="18" customHeight="1" thickBot="1">
      <c r="B23" s="148" t="s">
        <v>29</v>
      </c>
      <c r="C23" s="145">
        <f>SUM(C12:C22)</f>
        <v>5.569999999999999</v>
      </c>
      <c r="D23" s="146">
        <f>SUM(D12:D21)</f>
        <v>72.41</v>
      </c>
      <c r="E23" s="142"/>
      <c r="F23" s="147"/>
      <c r="G23" s="149">
        <f>SUM(G12:G22)</f>
        <v>45.76294679701702</v>
      </c>
      <c r="H23" s="122"/>
      <c r="I23" s="122"/>
      <c r="L23" s="156">
        <f>SUM(L12:L22)</f>
        <v>117</v>
      </c>
      <c r="M23" s="157">
        <f>N23/L23</f>
        <v>2870.25641025641</v>
      </c>
      <c r="N23" s="155">
        <f>SUM(N12:N22)</f>
        <v>335820</v>
      </c>
    </row>
    <row r="24" spans="2:13" ht="16.5" customHeight="1">
      <c r="B24" s="528" t="s">
        <v>58</v>
      </c>
      <c r="C24" s="328" t="s">
        <v>63</v>
      </c>
      <c r="D24" s="329" t="s">
        <v>59</v>
      </c>
      <c r="E24" s="330"/>
      <c r="F24" s="333"/>
      <c r="G24" s="334" t="s">
        <v>59</v>
      </c>
      <c r="H24" s="121"/>
      <c r="I24" s="121"/>
      <c r="L24">
        <f>N23/M24</f>
        <v>14.133838383838384</v>
      </c>
      <c r="M24" s="154">
        <f>SUM(M12:M21)</f>
        <v>23760</v>
      </c>
    </row>
    <row r="25" spans="2:9" s="136" customFormat="1" ht="15" customHeight="1">
      <c r="B25" s="529"/>
      <c r="C25" s="279"/>
      <c r="D25" s="137"/>
      <c r="E25" s="137"/>
      <c r="F25" s="137"/>
      <c r="G25" s="368"/>
      <c r="H25" s="139"/>
      <c r="I25" s="139"/>
    </row>
    <row r="26" spans="1:11" s="136" customFormat="1" ht="15" customHeight="1">
      <c r="A26" s="136">
        <v>1</v>
      </c>
      <c r="B26" s="140" t="str">
        <f>B12</f>
        <v>Position des tubes perforés et supports de tiges</v>
      </c>
      <c r="C26" s="141">
        <f>1!C$21</f>
        <v>5.17</v>
      </c>
      <c r="D26" s="366">
        <f aca="true" t="shared" si="2" ref="D26:D36">C26*$C$49</f>
        <v>67.21</v>
      </c>
      <c r="E26" s="365"/>
      <c r="F26" s="142"/>
      <c r="G26" s="364">
        <f>_xlfn.IFERROR(1!F$25-G12," ")</f>
        <v>12.889265697145241</v>
      </c>
      <c r="H26" s="122"/>
      <c r="I26" s="143">
        <f>1!F$25</f>
        <v>13.31309068138406</v>
      </c>
      <c r="K26" s="136">
        <f>1!C33+2!C33+3!C33+4!C33+5!C33+6!C33+7!C33+8!C33+9!C33+'10'!C33</f>
        <v>0</v>
      </c>
    </row>
    <row r="27" spans="1:9" s="136" customFormat="1" ht="15" customHeight="1">
      <c r="A27" s="136">
        <v>2</v>
      </c>
      <c r="B27" s="140" t="str">
        <f aca="true" t="shared" si="3" ref="B27:B35">B13</f>
        <v>Rails de guidage</v>
      </c>
      <c r="C27" s="141">
        <f>2!C$21</f>
        <v>10.46</v>
      </c>
      <c r="D27" s="366">
        <f t="shared" si="2"/>
        <v>135.98000000000002</v>
      </c>
      <c r="E27" s="365"/>
      <c r="F27" s="142"/>
      <c r="G27" s="364">
        <f>_xlfn.IFERROR(2!F$25-G13," ")</f>
        <v>91.80483370677123</v>
      </c>
      <c r="H27" s="122"/>
      <c r="I27" s="143">
        <f>2!F$25</f>
        <v>100.14274881398276</v>
      </c>
    </row>
    <row r="28" spans="1:9" s="136" customFormat="1" ht="15" customHeight="1">
      <c r="A28" s="136">
        <v>3</v>
      </c>
      <c r="B28" s="140" t="str">
        <f t="shared" si="3"/>
        <v>Goutières suspendues</v>
      </c>
      <c r="C28" s="141">
        <f>3!C$21</f>
        <v>7.79</v>
      </c>
      <c r="D28" s="366">
        <f t="shared" si="2"/>
        <v>101.27</v>
      </c>
      <c r="E28" s="365"/>
      <c r="F28" s="142"/>
      <c r="G28" s="364">
        <f>_xlfn.IFERROR(3!F$25-G14," ")</f>
        <v>121.89199404482824</v>
      </c>
      <c r="H28" s="122"/>
      <c r="I28" s="143">
        <f>3!F$25</f>
        <v>134.87920265294215</v>
      </c>
    </row>
    <row r="29" spans="1:9" s="136" customFormat="1" ht="15" customHeight="1">
      <c r="A29" s="136">
        <v>4</v>
      </c>
      <c r="B29" s="140" t="str">
        <f t="shared" si="3"/>
        <v>Tablier de travail</v>
      </c>
      <c r="C29" s="141">
        <f>4!C$21</f>
        <v>0.96</v>
      </c>
      <c r="D29" s="366">
        <f t="shared" si="2"/>
        <v>12.48</v>
      </c>
      <c r="E29" s="365"/>
      <c r="F29" s="142"/>
      <c r="G29" s="364">
        <f>_xlfn.IFERROR(4!F$25-G15," ")</f>
        <v>3.4169491525423723</v>
      </c>
      <c r="H29" s="122"/>
      <c r="I29" s="143">
        <f>4!F$25</f>
        <v>4.199999999999999</v>
      </c>
    </row>
    <row r="30" spans="1:9" s="136" customFormat="1" ht="15" customHeight="1">
      <c r="A30" s="136">
        <v>5</v>
      </c>
      <c r="B30" s="140" t="str">
        <f t="shared" si="3"/>
        <v>Chariot d'outils spécialisés</v>
      </c>
      <c r="C30" s="141">
        <f>5!C$21</f>
        <v>0.24</v>
      </c>
      <c r="D30" s="366">
        <f t="shared" si="2"/>
        <v>3.12</v>
      </c>
      <c r="E30" s="365"/>
      <c r="F30" s="142"/>
      <c r="G30" s="364">
        <f>_xlfn.IFERROR(5!F$25-G16," ")</f>
        <v>5.1382553391597</v>
      </c>
      <c r="H30" s="122"/>
      <c r="I30" s="143">
        <f>5!F$25</f>
        <v>5.780537256554663</v>
      </c>
    </row>
    <row r="31" spans="1:9" s="136" customFormat="1" ht="15" customHeight="1">
      <c r="A31" s="136">
        <v>6</v>
      </c>
      <c r="B31" s="140" t="str">
        <f t="shared" si="3"/>
        <v>Chariot de récolte</v>
      </c>
      <c r="C31" s="141">
        <f>6!C$21</f>
        <v>7.51</v>
      </c>
      <c r="D31" s="366">
        <f t="shared" si="2"/>
        <v>97.63</v>
      </c>
      <c r="E31" s="365"/>
      <c r="F31" s="142"/>
      <c r="G31" s="364">
        <f>_xlfn.IFERROR(6!F$25-G17," ")</f>
        <v>16.087137310415798</v>
      </c>
      <c r="H31" s="122"/>
      <c r="I31" s="143">
        <f>6!F$25</f>
        <v>17.972181362768115</v>
      </c>
    </row>
    <row r="32" spans="1:9" s="136" customFormat="1" ht="15" customHeight="1">
      <c r="A32" s="136">
        <v>7</v>
      </c>
      <c r="B32" s="140" t="str">
        <f t="shared" si="3"/>
        <v>Chariot de travail en hauteur</v>
      </c>
      <c r="C32" s="141">
        <f>7!C$21</f>
        <v>38.92</v>
      </c>
      <c r="D32" s="366">
        <f t="shared" si="2"/>
        <v>505.96000000000004</v>
      </c>
      <c r="E32" s="365"/>
      <c r="F32" s="142"/>
      <c r="G32" s="364">
        <f>_xlfn.IFERROR(7!F$25-G18," ")</f>
        <v>213.81233535288672</v>
      </c>
      <c r="H32" s="122"/>
      <c r="I32" s="143">
        <f>7!F$25</f>
        <v>215.405489958548</v>
      </c>
    </row>
    <row r="33" spans="1:9" s="136" customFormat="1" ht="15" customHeight="1">
      <c r="A33" s="136">
        <v>8</v>
      </c>
      <c r="B33" s="140" t="str">
        <f t="shared" si="3"/>
        <v>Transpalette</v>
      </c>
      <c r="C33" s="141">
        <f>8!C$21</f>
        <v>1.55</v>
      </c>
      <c r="D33" s="366">
        <f t="shared" si="2"/>
        <v>20.150000000000002</v>
      </c>
      <c r="E33" s="365"/>
      <c r="F33" s="142"/>
      <c r="G33" s="364">
        <f>_xlfn.IFERROR(8!F$25-G19," ")</f>
        <v>9.946118611351752</v>
      </c>
      <c r="H33" s="122"/>
      <c r="I33" s="143">
        <f>8!F$25</f>
        <v>11.165320247581967</v>
      </c>
    </row>
    <row r="34" spans="1:9" s="136" customFormat="1" ht="15" customHeight="1">
      <c r="A34" s="136">
        <v>9</v>
      </c>
      <c r="B34" s="140" t="str">
        <f t="shared" si="3"/>
        <v>Pulvérisateur </v>
      </c>
      <c r="C34" s="141">
        <f>9!C$21</f>
        <v>10.1</v>
      </c>
      <c r="D34" s="366">
        <f t="shared" si="2"/>
        <v>131.29999999999998</v>
      </c>
      <c r="E34" s="365"/>
      <c r="F34" s="142"/>
      <c r="G34" s="364">
        <f>_xlfn.IFERROR(9!F$25-G20," ")</f>
        <v>89.90063837112953</v>
      </c>
      <c r="H34" s="122"/>
      <c r="I34" s="143">
        <f>9!F$25</f>
        <v>107.702744979274</v>
      </c>
    </row>
    <row r="35" spans="1:9" s="136" customFormat="1" ht="15" customHeight="1">
      <c r="A35" s="136">
        <v>10</v>
      </c>
      <c r="B35" s="140" t="str">
        <f t="shared" si="3"/>
        <v>Broche de transition pour l'abaissage</v>
      </c>
      <c r="C35" s="141">
        <f>'10'!C$21</f>
        <v>0.17</v>
      </c>
      <c r="D35" s="366">
        <f t="shared" si="2"/>
        <v>2.21</v>
      </c>
      <c r="E35" s="365"/>
      <c r="F35" s="142"/>
      <c r="G35" s="364">
        <f>_xlfn.IFERROR('10'!F$25-G21," ")</f>
        <v>1.5156933136019468</v>
      </c>
      <c r="H35" s="122"/>
      <c r="I35" s="143">
        <f>'10'!F$25</f>
        <v>1.6048517438138261</v>
      </c>
    </row>
    <row r="36" spans="2:9" s="136" customFormat="1" ht="4.5" customHeight="1">
      <c r="B36" s="140"/>
      <c r="C36" s="144">
        <f>1!C36+2!C36+3!C36+4!C36+5!C36+6!C36+7!C36+8!C36+9!C36+'10'!C36</f>
        <v>0</v>
      </c>
      <c r="D36" s="137">
        <f t="shared" si="2"/>
        <v>0</v>
      </c>
      <c r="E36" s="137"/>
      <c r="F36" s="137"/>
      <c r="G36" s="138"/>
      <c r="H36" s="139"/>
      <c r="I36" s="139"/>
    </row>
    <row r="37" spans="2:9" s="136" customFormat="1" ht="18" customHeight="1" thickBot="1">
      <c r="B37" s="148" t="s">
        <v>29</v>
      </c>
      <c r="C37" s="145">
        <f>SUM(C26:C36)</f>
        <v>82.87</v>
      </c>
      <c r="D37" s="367">
        <f>SUM(D26:D35)</f>
        <v>1077.3100000000002</v>
      </c>
      <c r="E37" s="142"/>
      <c r="F37" s="147"/>
      <c r="G37" s="369">
        <f>SUM(G26:G36)</f>
        <v>566.4032208998326</v>
      </c>
      <c r="H37" s="122"/>
      <c r="I37" s="122">
        <f>SUM(I26:I36)</f>
        <v>612.1661676968496</v>
      </c>
    </row>
    <row r="38" spans="2:9" ht="4.5" customHeight="1" thickBot="1">
      <c r="B38" s="130"/>
      <c r="C38" s="126"/>
      <c r="D38" s="5"/>
      <c r="E38" s="78"/>
      <c r="F38" s="127"/>
      <c r="G38" s="371"/>
      <c r="H38" s="5"/>
      <c r="I38" s="5"/>
    </row>
    <row r="39" spans="2:9" ht="18" customHeight="1" thickBot="1">
      <c r="B39" s="133" t="s">
        <v>96</v>
      </c>
      <c r="C39" s="134"/>
      <c r="D39" s="370">
        <f>D23+D37</f>
        <v>1149.7200000000003</v>
      </c>
      <c r="E39" s="132"/>
      <c r="F39" s="135" t="s">
        <v>6</v>
      </c>
      <c r="G39" s="372">
        <f>+G37+G23</f>
        <v>612.1661676968496</v>
      </c>
      <c r="H39" s="122"/>
      <c r="I39" s="122"/>
    </row>
    <row r="40" spans="2:9" ht="18" customHeight="1">
      <c r="B40" s="535" t="s">
        <v>132</v>
      </c>
      <c r="C40" s="536"/>
      <c r="D40" s="376">
        <f>D37-D37/(1+(1-$D$50))</f>
        <v>248.61</v>
      </c>
      <c r="E40" s="123"/>
      <c r="F40" s="123"/>
      <c r="G40" s="131"/>
      <c r="H40" s="123"/>
      <c r="I40" s="123"/>
    </row>
    <row r="41" spans="2:7" s="85" customFormat="1" ht="16.5" customHeight="1">
      <c r="B41" s="244" t="s">
        <v>40</v>
      </c>
      <c r="C41" s="245"/>
      <c r="D41" s="375">
        <f>+D39+D7</f>
        <v>1248.7200000000003</v>
      </c>
      <c r="E41" s="246"/>
      <c r="F41" s="247" t="s">
        <v>89</v>
      </c>
      <c r="G41" s="235">
        <f>+G39+G7</f>
        <v>612.1661676968496</v>
      </c>
    </row>
    <row r="42" ht="6" customHeight="1" thickBot="1"/>
    <row r="43" spans="2:9" ht="18" customHeight="1" thickBot="1">
      <c r="B43" s="525" t="s">
        <v>91</v>
      </c>
      <c r="C43" s="526"/>
      <c r="D43" s="526"/>
      <c r="E43" s="526"/>
      <c r="F43" s="527"/>
      <c r="G43" s="378">
        <f>D41-G41</f>
        <v>636.5538323031507</v>
      </c>
      <c r="H43" s="124"/>
      <c r="I43" s="124"/>
    </row>
    <row r="44" spans="2:9" ht="6" customHeight="1" thickBot="1">
      <c r="B44" s="128"/>
      <c r="C44" s="128"/>
      <c r="D44" s="128"/>
      <c r="E44" s="128"/>
      <c r="F44" s="128"/>
      <c r="G44" s="129"/>
      <c r="H44" s="125"/>
      <c r="I44" s="124"/>
    </row>
    <row r="45" spans="2:10" ht="17.25" customHeight="1">
      <c r="B45" s="517" t="s">
        <v>53</v>
      </c>
      <c r="C45" s="518"/>
      <c r="D45" s="518"/>
      <c r="E45" s="518"/>
      <c r="F45" s="519"/>
      <c r="G45" s="250">
        <f>_xlfn.IFERROR((1!$F$7+2!$F$7+3!$F$7+4!$F$7+5!$F$7+6!$F$7+7!$F$7+8!$F$7+9!$F$7+'10'!$F$7)/G49*100," ")</f>
        <v>4752</v>
      </c>
      <c r="H45" s="125"/>
      <c r="I45" s="125"/>
      <c r="J45" t="s">
        <v>100</v>
      </c>
    </row>
    <row r="46" spans="2:11" ht="17.25" customHeight="1">
      <c r="B46" s="520" t="s">
        <v>79</v>
      </c>
      <c r="C46" s="521"/>
      <c r="D46" s="521"/>
      <c r="E46" s="521"/>
      <c r="F46" s="521"/>
      <c r="G46" s="151">
        <f>_xlfn.IFERROR(G45/(G43+(1!F23+2!F23+3!F23+4!F23+5!F23+6!F23+7!F23+8!F23+9!F23+'10'!F23)+(1!F22+2!F22+3!F22+4!F22+5!F22+6!F22+7!F22+8!F22+9!F22+'10'!F22))," ")</f>
        <v>4.137415839023876</v>
      </c>
      <c r="H46" s="125"/>
      <c r="I46" s="260">
        <f>(1!F23+2!F23+3!F23+4!F23+5!F23+6!F23+7!F23+8!F23+9!F23+'10'!F23)+(1!F22+2!F22+3!F22+4!F22+5!F22+6!F22+7!F22+8!F22+9!F22+'10'!F22)</f>
        <v>511.98916769684956</v>
      </c>
      <c r="J46" s="261">
        <f>I37-I46</f>
        <v>100.17700000000002</v>
      </c>
      <c r="K46" t="s">
        <v>101</v>
      </c>
    </row>
    <row r="47" spans="2:9" ht="17.25" customHeight="1" thickBot="1">
      <c r="B47" s="522" t="s">
        <v>61</v>
      </c>
      <c r="C47" s="523"/>
      <c r="D47" s="523"/>
      <c r="E47" s="523"/>
      <c r="F47" s="524"/>
      <c r="G47" s="151">
        <f>_xlfn.IFERROR((1!$F$7*1!$F$8+2!$F$8*2!$F$7+3!$F$8*3!$F$7+4!$F$8*4!$F$7+5!$F$8*5!$F$7+6!$F$8*6!$F$7+7!$F$8*7!$F$7+8!$F$8*8!$F$7+9!$F$8*9!$F$7+'10'!$F$8*'10'!$F$7)/(G45*G49/100)," ")</f>
        <v>14.133838383838384</v>
      </c>
      <c r="H47" s="125"/>
      <c r="I47" s="125"/>
    </row>
    <row r="48" spans="2:9" s="100" customFormat="1" ht="4.5" customHeight="1" thickBot="1">
      <c r="B48" s="152"/>
      <c r="C48" s="152"/>
      <c r="D48" s="152"/>
      <c r="E48" s="152"/>
      <c r="F48" s="152"/>
      <c r="G48" s="153"/>
      <c r="H48" s="125"/>
      <c r="I48" s="124"/>
    </row>
    <row r="49" spans="2:8" ht="15.75" thickBot="1">
      <c r="B49" s="412" t="s">
        <v>150</v>
      </c>
      <c r="C49" s="417">
        <f>1!D7</f>
        <v>13</v>
      </c>
      <c r="D49" s="418"/>
      <c r="E49" s="420"/>
      <c r="F49" s="420" t="s">
        <v>60</v>
      </c>
      <c r="G49" s="421">
        <f>1!D8</f>
        <v>500</v>
      </c>
      <c r="H49" s="150"/>
    </row>
    <row r="50" spans="2:9" s="79" customFormat="1" ht="15.75" thickBot="1">
      <c r="B50" s="531" t="s">
        <v>131</v>
      </c>
      <c r="C50" s="532"/>
      <c r="D50" s="422">
        <f>1!D9</f>
        <v>0.7</v>
      </c>
      <c r="E50" s="125"/>
      <c r="F50" s="125"/>
      <c r="G50" s="419"/>
      <c r="H50" s="150"/>
      <c r="I50"/>
    </row>
    <row r="51" spans="1:7" s="45" customFormat="1" ht="22.5" customHeight="1" thickBot="1">
      <c r="A51" s="100"/>
      <c r="B51" s="542" t="str">
        <f>"Total du flux annuel moyen de trésorerie durant la période de l'emprunt. ("&amp;G49&amp;" m²)"</f>
        <v>Total du flux annuel moyen de trésorerie durant la période de l'emprunt. (500 m²)</v>
      </c>
      <c r="C51" s="542"/>
      <c r="D51" s="542"/>
      <c r="E51" s="542"/>
      <c r="F51" s="542"/>
      <c r="G51" s="542"/>
    </row>
    <row r="52" spans="1:10" s="45" customFormat="1" ht="15.75" customHeight="1">
      <c r="A52" s="100"/>
      <c r="B52" s="488" t="str">
        <f>"Montant de l'emprunt  "&amp;I52*100&amp;" % de l'investissement"</f>
        <v>Montant de l'emprunt  75 % de l'investissement</v>
      </c>
      <c r="C52" s="489"/>
      <c r="D52" s="277">
        <f>I52*G45*G49/100</f>
        <v>17820</v>
      </c>
      <c r="E52" s="284"/>
      <c r="F52" s="264" t="s">
        <v>54</v>
      </c>
      <c r="G52" s="265">
        <v>4</v>
      </c>
      <c r="I52" s="276">
        <v>0.75</v>
      </c>
      <c r="J52" s="269" t="s">
        <v>99</v>
      </c>
    </row>
    <row r="53" spans="1:10" s="45" customFormat="1" ht="15.75" customHeight="1" thickBot="1">
      <c r="A53" s="100"/>
      <c r="B53" s="490" t="str">
        <f>"Durée de l'emprunt  "&amp;I53*100&amp;" % de l'amortissement"</f>
        <v>Durée de l'emprunt  50 % de l'amortissement</v>
      </c>
      <c r="C53" s="491"/>
      <c r="D53" s="278">
        <f>I53*G47</f>
        <v>7.066919191919192</v>
      </c>
      <c r="E53" s="285"/>
      <c r="F53" s="266" t="s">
        <v>55</v>
      </c>
      <c r="G53" s="271">
        <f>1!F35</f>
        <v>0.05</v>
      </c>
      <c r="I53" s="276">
        <v>0.5</v>
      </c>
      <c r="J53" s="269" t="s">
        <v>98</v>
      </c>
    </row>
    <row r="54" spans="1:9" s="85" customFormat="1" ht="15.75">
      <c r="A54" s="79"/>
      <c r="B54" s="109" t="s">
        <v>104</v>
      </c>
      <c r="C54" s="107"/>
      <c r="D54" s="108"/>
      <c r="E54" s="543" t="s">
        <v>105</v>
      </c>
      <c r="F54" s="544"/>
      <c r="G54" s="108"/>
      <c r="I54"/>
    </row>
    <row r="55" spans="1:7" ht="15.75">
      <c r="A55" s="79"/>
      <c r="B55" s="492" t="str">
        <f>"Économies de main d'œuvre sur "&amp;G49&amp;" m²"</f>
        <v>Économies de main d'œuvre sur 500 m²</v>
      </c>
      <c r="C55" s="493"/>
      <c r="D55" s="165">
        <f>D39*G49/100</f>
        <v>5748.600000000001</v>
      </c>
      <c r="E55" s="286"/>
      <c r="F55" s="7" t="s">
        <v>69</v>
      </c>
      <c r="G55" s="112">
        <f>_xlfn.IFERROR(D52/D53," ")</f>
        <v>2521.608004288011</v>
      </c>
    </row>
    <row r="56" spans="2:9" ht="15.75">
      <c r="B56" s="176" t="s">
        <v>51</v>
      </c>
      <c r="C56" s="177"/>
      <c r="D56" s="174"/>
      <c r="E56" s="287"/>
      <c r="F56" s="39" t="s">
        <v>44</v>
      </c>
      <c r="G56" s="112">
        <f>_xlfn.IFERROR((PMT(G53/G52,G52*D53,-D52)*G52*D53-D52)/D53," ")</f>
        <v>487.24730851324574</v>
      </c>
      <c r="I56" s="280"/>
    </row>
    <row r="57" spans="2:7" ht="15.75">
      <c r="B57" s="185" t="s">
        <v>18</v>
      </c>
      <c r="C57" s="186"/>
      <c r="D57" s="187"/>
      <c r="E57" s="288"/>
      <c r="F57" s="188" t="s">
        <v>46</v>
      </c>
      <c r="G57" s="187"/>
    </row>
    <row r="58" spans="2:7" ht="17.25" customHeight="1" thickBot="1">
      <c r="B58" s="289" t="s">
        <v>45</v>
      </c>
      <c r="C58" s="290"/>
      <c r="D58" s="291">
        <f>SUM(D55:D57)</f>
        <v>5748.600000000001</v>
      </c>
      <c r="E58" s="545" t="s">
        <v>12</v>
      </c>
      <c r="F58" s="546"/>
      <c r="G58" s="292">
        <f>SUM(G55:G57)</f>
        <v>3008.855312801257</v>
      </c>
    </row>
    <row r="59" spans="2:7" ht="17.25" customHeight="1" thickBot="1">
      <c r="B59" s="539" t="s">
        <v>56</v>
      </c>
      <c r="C59" s="540"/>
      <c r="D59" s="540"/>
      <c r="E59" s="540"/>
      <c r="F59" s="541"/>
      <c r="G59" s="158">
        <f>D58-G58</f>
        <v>2739.7446871987445</v>
      </c>
    </row>
    <row r="60" spans="2:7" ht="3.75" customHeight="1" thickBot="1">
      <c r="B60" s="55"/>
      <c r="C60" s="6"/>
      <c r="D60" s="6"/>
      <c r="E60" s="6"/>
      <c r="F60" s="6"/>
      <c r="G60" s="98"/>
    </row>
    <row r="61" spans="2:9" ht="17.25" customHeight="1" thickBot="1">
      <c r="B61" s="494" t="s">
        <v>70</v>
      </c>
      <c r="C61" s="495"/>
      <c r="D61" s="495"/>
      <c r="E61" s="495"/>
      <c r="F61" s="500"/>
      <c r="G61" s="158">
        <f>_xlfn.IFERROR(G59*100/G49," ")</f>
        <v>547.9489374397489</v>
      </c>
      <c r="I61" s="280"/>
    </row>
  </sheetData>
  <sheetProtection sheet="1"/>
  <mergeCells count="22">
    <mergeCell ref="B61:F61"/>
    <mergeCell ref="B59:F59"/>
    <mergeCell ref="B51:G51"/>
    <mergeCell ref="E54:F54"/>
    <mergeCell ref="E58:F58"/>
    <mergeCell ref="B52:C52"/>
    <mergeCell ref="B50:C50"/>
    <mergeCell ref="B55:C55"/>
    <mergeCell ref="B3:G3"/>
    <mergeCell ref="B9:D9"/>
    <mergeCell ref="B24:B25"/>
    <mergeCell ref="B40:C40"/>
    <mergeCell ref="F9:G9"/>
    <mergeCell ref="B53:C53"/>
    <mergeCell ref="B2:G2"/>
    <mergeCell ref="B4:G4"/>
    <mergeCell ref="B45:F45"/>
    <mergeCell ref="B46:F46"/>
    <mergeCell ref="B47:F47"/>
    <mergeCell ref="B43:F43"/>
    <mergeCell ref="B10:B11"/>
    <mergeCell ref="D5:G5"/>
  </mergeCells>
  <conditionalFormatting sqref="E49:F50 H43:H50 I43:I48">
    <cfRule type="cellIs" priority="13" dxfId="1898" operator="lessThan" stopIfTrue="1">
      <formula>0</formula>
    </cfRule>
  </conditionalFormatting>
  <conditionalFormatting sqref="G59 G61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  <ignoredErrors>
    <ignoredError sqref="C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zoomScalePageLayoutView="0" workbookViewId="0" topLeftCell="A1">
      <selection activeCell="B1" sqref="B1:C1"/>
    </sheetView>
  </sheetViews>
  <sheetFormatPr defaultColWidth="11.421875" defaultRowHeight="15"/>
  <cols>
    <col min="1" max="1" width="3.28125" style="0" customWidth="1"/>
    <col min="2" max="2" width="70.140625" style="0" customWidth="1"/>
    <col min="3" max="3" width="9.57421875" style="392" customWidth="1"/>
  </cols>
  <sheetData>
    <row r="1" spans="2:3" ht="18">
      <c r="B1" s="464" t="s">
        <v>108</v>
      </c>
      <c r="C1" s="464"/>
    </row>
    <row r="2" spans="2:4" ht="16.5">
      <c r="B2" s="465" t="str">
        <f>1!I4</f>
        <v>Tomates beefsteak</v>
      </c>
      <c r="C2" s="465"/>
      <c r="D2" s="136"/>
    </row>
    <row r="3" spans="2:4" ht="24.75" customHeight="1">
      <c r="B3" s="466" t="s">
        <v>30</v>
      </c>
      <c r="C3" s="466"/>
      <c r="D3" s="136"/>
    </row>
    <row r="4" spans="2:3" ht="16.5" customHeight="1">
      <c r="B4" s="424" t="s">
        <v>111</v>
      </c>
      <c r="C4" s="423" t="s">
        <v>110</v>
      </c>
    </row>
    <row r="5" spans="2:3" ht="30.75" customHeight="1">
      <c r="B5" s="302" t="str">
        <f>Guide!B1</f>
        <v>Explication du budget partiel 
et guide pour utiliser le canevas électronique pour sa réalisation</v>
      </c>
      <c r="C5" s="425" t="s">
        <v>109</v>
      </c>
    </row>
    <row r="6" spans="2:3" ht="15.75" customHeight="1">
      <c r="B6" s="427" t="str">
        <f>1!C$6</f>
        <v>Position des tubes perforés et supports de tiges</v>
      </c>
      <c r="C6" s="426">
        <v>1</v>
      </c>
    </row>
    <row r="7" spans="2:3" ht="15.75" customHeight="1">
      <c r="B7" s="427" t="str">
        <f>2!C$6</f>
        <v>Rails de guidage</v>
      </c>
      <c r="C7" s="426">
        <v>2</v>
      </c>
    </row>
    <row r="8" spans="2:3" ht="15.75" customHeight="1">
      <c r="B8" s="427" t="str">
        <f>3!C$6</f>
        <v>Goutières suspendues</v>
      </c>
      <c r="C8" s="426">
        <v>3</v>
      </c>
    </row>
    <row r="9" spans="2:3" ht="15.75" customHeight="1">
      <c r="B9" s="427" t="str">
        <f>4!C$6</f>
        <v>Tablier de travail</v>
      </c>
      <c r="C9" s="426">
        <v>4</v>
      </c>
    </row>
    <row r="10" spans="2:3" ht="15.75" customHeight="1">
      <c r="B10" s="427" t="str">
        <f>5!C$6</f>
        <v>Chariot d'outils spécialisés</v>
      </c>
      <c r="C10" s="426">
        <v>5</v>
      </c>
    </row>
    <row r="11" spans="2:3" ht="15.75" customHeight="1">
      <c r="B11" s="427" t="str">
        <f>6!C$6</f>
        <v>Chariot de récolte</v>
      </c>
      <c r="C11" s="426">
        <v>6</v>
      </c>
    </row>
    <row r="12" spans="2:3" ht="15.75" customHeight="1">
      <c r="B12" s="427" t="str">
        <f>7!C$6</f>
        <v>Chariot de travail en hauteur</v>
      </c>
      <c r="C12" s="426">
        <v>7</v>
      </c>
    </row>
    <row r="13" spans="2:3" ht="15.75" customHeight="1">
      <c r="B13" s="427" t="str">
        <f>8!C$6</f>
        <v>Transpalette</v>
      </c>
      <c r="C13" s="426">
        <v>8</v>
      </c>
    </row>
    <row r="14" spans="2:3" ht="15.75" customHeight="1">
      <c r="B14" s="427" t="str">
        <f>9!C$6</f>
        <v>Pulvérisateur </v>
      </c>
      <c r="C14" s="426">
        <v>9</v>
      </c>
    </row>
    <row r="15" spans="2:3" ht="15.75" customHeight="1">
      <c r="B15" s="427" t="str">
        <f>'10'!C$6</f>
        <v>Broche de transition pour l'abaissage</v>
      </c>
      <c r="C15" s="426">
        <v>10</v>
      </c>
    </row>
    <row r="16" spans="2:4" ht="15.75" customHeight="1">
      <c r="B16" s="427" t="str">
        <f>'11'!C$6</f>
        <v>Convoyeur de boîtes vers la salle de tri</v>
      </c>
      <c r="C16" s="426">
        <v>11</v>
      </c>
      <c r="D16" s="45"/>
    </row>
    <row r="17" spans="2:4" ht="15.75" customHeight="1">
      <c r="B17" s="427" t="str">
        <f>'12'!C$6</f>
        <v>Table de travail salle de classement</v>
      </c>
      <c r="C17" s="426">
        <v>12</v>
      </c>
      <c r="D17" s="45"/>
    </row>
    <row r="18" spans="2:4" ht="15.75" customHeight="1">
      <c r="B18" s="427" t="str">
        <f>'13'!C$6</f>
        <v>Étiqueteuse à air comprimé</v>
      </c>
      <c r="C18" s="426">
        <v>13</v>
      </c>
      <c r="D18" s="45"/>
    </row>
    <row r="19" spans="2:4" ht="15.75" customHeight="1">
      <c r="B19" s="427" t="str">
        <f>'14'!C$6</f>
        <v>Classeuse usagée pour le calibre</v>
      </c>
      <c r="C19" s="428">
        <v>14</v>
      </c>
      <c r="D19" s="45"/>
    </row>
    <row r="20" spans="2:4" ht="15.75" customHeight="1">
      <c r="B20" s="427" t="str">
        <f>'15'!C$6</f>
        <v>Aménagement espace de travail</v>
      </c>
      <c r="C20" s="426">
        <v>15</v>
      </c>
      <c r="D20" s="45"/>
    </row>
    <row r="21" spans="2:10" ht="30">
      <c r="B21" s="429" t="s">
        <v>113</v>
      </c>
      <c r="C21" s="426" t="s">
        <v>32</v>
      </c>
      <c r="E21" s="463"/>
      <c r="F21" s="463"/>
      <c r="G21" s="463"/>
      <c r="H21" s="463"/>
      <c r="I21" s="463"/>
      <c r="J21" s="463"/>
    </row>
    <row r="22" spans="2:4" ht="15">
      <c r="B22" s="430" t="s">
        <v>107</v>
      </c>
      <c r="C22" s="428" t="s">
        <v>33</v>
      </c>
      <c r="D22" s="45"/>
    </row>
    <row r="23" spans="2:3" ht="15">
      <c r="B23" s="431" t="s">
        <v>106</v>
      </c>
      <c r="C23" s="426" t="s">
        <v>114</v>
      </c>
    </row>
    <row r="24" spans="1:3" ht="15">
      <c r="A24" s="45"/>
      <c r="B24" s="431" t="str">
        <f>PRI!B3</f>
        <v>Sommaire des périodes de récupération de l'investissement</v>
      </c>
      <c r="C24" s="426" t="s">
        <v>148</v>
      </c>
    </row>
  </sheetData>
  <sheetProtection sheet="1"/>
  <mergeCells count="4">
    <mergeCell ref="E21:J21"/>
    <mergeCell ref="B1:C1"/>
    <mergeCell ref="B2:C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11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J42"/>
  <sheetViews>
    <sheetView showGridLines="0" showZeros="0" zoomScale="90" zoomScaleNormal="90" zoomScalePageLayoutView="0" workbookViewId="0" topLeftCell="A2">
      <pane ySplit="9" topLeftCell="A16" activePane="bottomLeft" state="frozen"/>
      <selection pane="topLeft" activeCell="A2" sqref="A2"/>
      <selection pane="bottomLeft" activeCell="E30" sqref="E30"/>
    </sheetView>
  </sheetViews>
  <sheetFormatPr defaultColWidth="11.421875" defaultRowHeight="15"/>
  <cols>
    <col min="1" max="1" width="3.7109375" style="0" customWidth="1"/>
    <col min="2" max="2" width="42.421875" style="0" customWidth="1"/>
    <col min="3" max="3" width="11.421875" style="0" customWidth="1"/>
    <col min="4" max="4" width="14.7109375" style="0" customWidth="1"/>
    <col min="5" max="5" width="2.28125" style="0" customWidth="1"/>
    <col min="6" max="6" width="39.8515625" style="0" customWidth="1"/>
    <col min="7" max="7" width="16.7109375" style="0" customWidth="1"/>
    <col min="8" max="8" width="4.00390625" style="0" customWidth="1"/>
  </cols>
  <sheetData>
    <row r="1" ht="15" hidden="1"/>
    <row r="2" spans="2:9" ht="22.5">
      <c r="B2" s="515" t="s">
        <v>76</v>
      </c>
      <c r="C2" s="515"/>
      <c r="D2" s="515"/>
      <c r="E2" s="515"/>
      <c r="F2" s="515"/>
      <c r="G2" s="515"/>
      <c r="H2" s="119"/>
      <c r="I2" s="119"/>
    </row>
    <row r="3" spans="2:9" ht="21.75" customHeight="1">
      <c r="B3" s="463" t="s">
        <v>75</v>
      </c>
      <c r="C3" s="463"/>
      <c r="D3" s="463"/>
      <c r="E3" s="463"/>
      <c r="F3" s="463"/>
      <c r="G3" s="463"/>
      <c r="H3" s="42"/>
      <c r="I3" s="42"/>
    </row>
    <row r="4" spans="2:9" ht="20.25">
      <c r="B4" s="516" t="str">
        <f>1!I4</f>
        <v>Tomates beefsteak</v>
      </c>
      <c r="C4" s="516"/>
      <c r="D4" s="516"/>
      <c r="E4" s="516"/>
      <c r="F4" s="516"/>
      <c r="G4" s="516"/>
      <c r="H4" s="118"/>
      <c r="I4" s="118"/>
    </row>
    <row r="5" spans="2:7" ht="15.75" thickBot="1">
      <c r="B5" s="45"/>
      <c r="C5" s="410">
        <f>1!$C$5</f>
        <v>8</v>
      </c>
      <c r="D5" s="530" t="s">
        <v>149</v>
      </c>
      <c r="E5" s="530"/>
      <c r="F5" s="530"/>
      <c r="G5" s="530"/>
    </row>
    <row r="6" spans="2:7" ht="15.75">
      <c r="B6" s="201" t="s">
        <v>87</v>
      </c>
      <c r="C6" s="202"/>
      <c r="D6" s="203" t="s">
        <v>7</v>
      </c>
      <c r="E6" s="204"/>
      <c r="F6" s="205" t="s">
        <v>22</v>
      </c>
      <c r="G6" s="206" t="s">
        <v>8</v>
      </c>
    </row>
    <row r="7" spans="2:9" ht="15.75">
      <c r="B7" s="207" t="s">
        <v>1</v>
      </c>
      <c r="C7" s="208"/>
      <c r="D7" s="209">
        <f>'11'!D15+'12'!D15+'13'!D15+'14'!D15+'15'!D15</f>
        <v>0</v>
      </c>
      <c r="E7" s="210"/>
      <c r="F7" s="211" t="s">
        <v>2</v>
      </c>
      <c r="G7" s="212">
        <f>'11'!F15+'12'!F15+'13'!F15+'14'!F15+'15'!F15</f>
        <v>0</v>
      </c>
      <c r="H7" s="79"/>
      <c r="I7" s="251">
        <f>1!F25+2!F25+3!F25+4!F25+5!F25+6!F25+7!F25+8!F25+9!F25+'10'!F25</f>
        <v>612.1661676968496</v>
      </c>
    </row>
    <row r="8" spans="2:7" ht="3.75" customHeight="1" thickBot="1">
      <c r="B8" s="57"/>
      <c r="C8" s="9"/>
      <c r="D8" s="373"/>
      <c r="E8" s="9"/>
      <c r="F8" s="9"/>
      <c r="G8" s="374"/>
    </row>
    <row r="9" spans="2:7" ht="16.5" thickBot="1">
      <c r="B9" s="533" t="s">
        <v>74</v>
      </c>
      <c r="C9" s="534"/>
      <c r="D9" s="562"/>
      <c r="E9" s="189"/>
      <c r="F9" s="563" t="s">
        <v>95</v>
      </c>
      <c r="G9" s="564"/>
    </row>
    <row r="10" spans="2:9" ht="15" customHeight="1">
      <c r="B10" s="380"/>
      <c r="C10" s="328" t="s">
        <v>136</v>
      </c>
      <c r="D10" s="328" t="s">
        <v>137</v>
      </c>
      <c r="E10" s="335"/>
      <c r="F10" s="328"/>
      <c r="G10" s="334" t="s">
        <v>137</v>
      </c>
      <c r="H10" s="120"/>
      <c r="I10" s="120"/>
    </row>
    <row r="11" spans="1:7" ht="15" customHeight="1">
      <c r="A11">
        <v>1</v>
      </c>
      <c r="B11" s="393" t="str">
        <f>'11'!C$6</f>
        <v>Convoyeur de boîtes vers la salle de tri</v>
      </c>
      <c r="C11" s="395">
        <f>'11'!C$33</f>
        <v>0.76</v>
      </c>
      <c r="D11" s="366">
        <f>C11*$C$27</f>
        <v>9.88</v>
      </c>
      <c r="F11" s="398"/>
      <c r="G11" s="364">
        <f>'11'!F33</f>
        <v>12.950457496545667</v>
      </c>
    </row>
    <row r="12" spans="1:9" ht="15" customHeight="1">
      <c r="A12">
        <v>2</v>
      </c>
      <c r="B12" s="393" t="str">
        <f>'12'!C$6</f>
        <v>Table de travail salle de classement</v>
      </c>
      <c r="C12" s="395">
        <f>'12'!C$33</f>
        <v>2.94</v>
      </c>
      <c r="D12" s="366">
        <f>C12*$C$27</f>
        <v>38.22</v>
      </c>
      <c r="F12" s="398"/>
      <c r="G12" s="364">
        <f>'12'!F$33</f>
        <v>38.536915043697746</v>
      </c>
      <c r="H12">
        <f>'11'!C27+'12'!C27+'13'!C27+'14'!C27+'15'!C27</f>
        <v>16.720000000000002</v>
      </c>
      <c r="I12" s="259">
        <f>('11'!F28+'12'!F28+'13'!F28+'14'!F28+'15'!F28+'11'!F29+'12'!F29+'13'!F29+'14'!F29+'15'!F29)</f>
        <v>372.13091732768135</v>
      </c>
    </row>
    <row r="13" spans="1:7" ht="15">
      <c r="A13">
        <v>3</v>
      </c>
      <c r="B13" s="393" t="str">
        <f>'13'!C$6</f>
        <v>Étiqueteuse à air comprimé</v>
      </c>
      <c r="C13" s="395">
        <f>'13'!C$33</f>
        <v>2.7</v>
      </c>
      <c r="D13" s="366">
        <f>C13*$C$27</f>
        <v>35.1</v>
      </c>
      <c r="F13" s="398"/>
      <c r="G13" s="364">
        <f>'13'!F$33</f>
        <v>23.09747981282681</v>
      </c>
    </row>
    <row r="14" spans="1:7" ht="15">
      <c r="A14">
        <v>4</v>
      </c>
      <c r="B14" s="393" t="str">
        <f>'14'!C$6</f>
        <v>Classeuse usagée pour le calibre</v>
      </c>
      <c r="C14" s="396">
        <f>'14'!C$33</f>
        <v>7.2</v>
      </c>
      <c r="D14" s="366">
        <f>C14*$C$27</f>
        <v>93.60000000000001</v>
      </c>
      <c r="F14" s="398"/>
      <c r="G14" s="364">
        <f>'14'!F$33</f>
        <v>304.00914993091334</v>
      </c>
    </row>
    <row r="15" spans="1:7" ht="15.75" thickBot="1">
      <c r="A15">
        <v>5</v>
      </c>
      <c r="B15" s="394" t="str">
        <f>'15'!C$6</f>
        <v>Aménagement espace de travail</v>
      </c>
      <c r="C15" s="397">
        <f>'15'!C$33</f>
        <v>12.27</v>
      </c>
      <c r="D15" s="379">
        <f>C15*$C$27</f>
        <v>159.51</v>
      </c>
      <c r="F15" s="398"/>
      <c r="G15" s="364">
        <f>'15'!F$33</f>
        <v>38.536915043697746</v>
      </c>
    </row>
    <row r="16" spans="1:7" ht="16.5" thickBot="1">
      <c r="A16" s="85"/>
      <c r="B16" s="252" t="s">
        <v>96</v>
      </c>
      <c r="C16" s="253">
        <f>SUM(C11:C15)</f>
        <v>25.87</v>
      </c>
      <c r="D16" s="377">
        <f>SUM(D11:D15)</f>
        <v>336.31</v>
      </c>
      <c r="E16" s="85"/>
      <c r="F16" s="135" t="s">
        <v>6</v>
      </c>
      <c r="G16" s="408">
        <f>SUM(G11:G15)</f>
        <v>417.13091732768135</v>
      </c>
    </row>
    <row r="17" spans="1:9" s="85" customFormat="1" ht="15.75" thickBot="1">
      <c r="A17"/>
      <c r="B17" s="535" t="s">
        <v>132</v>
      </c>
      <c r="C17" s="547"/>
      <c r="D17" s="405">
        <f>D16-D16/(1+(1-$D$29))</f>
        <v>77.61000000000001</v>
      </c>
      <c r="E17"/>
      <c r="F17"/>
      <c r="G17"/>
      <c r="I17"/>
    </row>
    <row r="18" spans="1:7" ht="16.5" thickBot="1">
      <c r="A18" s="85"/>
      <c r="B18" s="381" t="s">
        <v>40</v>
      </c>
      <c r="C18" s="382"/>
      <c r="D18" s="406">
        <f>+D16+D7</f>
        <v>336.31</v>
      </c>
      <c r="E18" s="384"/>
      <c r="F18" s="383" t="s">
        <v>89</v>
      </c>
      <c r="G18" s="407">
        <f>+G16+G7</f>
        <v>417.13091732768135</v>
      </c>
    </row>
    <row r="19" spans="1:7" s="85" customFormat="1" ht="5.25" customHeight="1" thickBot="1">
      <c r="A19"/>
      <c r="B19"/>
      <c r="C19"/>
      <c r="D19"/>
      <c r="E19"/>
      <c r="F19"/>
      <c r="G19"/>
    </row>
    <row r="20" spans="2:7" ht="18.75" customHeight="1" thickBot="1">
      <c r="B20" s="525" t="s">
        <v>91</v>
      </c>
      <c r="C20" s="526"/>
      <c r="D20" s="526"/>
      <c r="E20" s="526"/>
      <c r="F20" s="527"/>
      <c r="G20" s="378">
        <f>D18-G18</f>
        <v>-80.82091732768134</v>
      </c>
    </row>
    <row r="21" spans="1:8" ht="18" customHeight="1" thickBot="1">
      <c r="A21" s="79"/>
      <c r="B21" s="559" t="s">
        <v>31</v>
      </c>
      <c r="C21" s="560"/>
      <c r="D21" s="560"/>
      <c r="E21" s="560"/>
      <c r="F21" s="561"/>
      <c r="G21" s="194">
        <f>_xlfn.IFERROR(G20/D28/100," ")</f>
        <v>-0.017960203850595855</v>
      </c>
      <c r="H21" s="124"/>
    </row>
    <row r="22" spans="2:7" ht="4.5" customHeight="1" thickBot="1">
      <c r="B22" s="128"/>
      <c r="C22" s="128"/>
      <c r="D22" s="128"/>
      <c r="E22" s="128"/>
      <c r="F22" s="128"/>
      <c r="G22" s="129"/>
    </row>
    <row r="23" spans="2:8" ht="16.5" customHeight="1">
      <c r="B23" s="550" t="s">
        <v>53</v>
      </c>
      <c r="C23" s="551"/>
      <c r="D23" s="551"/>
      <c r="E23" s="551"/>
      <c r="F23" s="552"/>
      <c r="G23" s="250">
        <f>_xlfn.IFERROR(('11'!F9+'12'!F9+'13'!F9+'14'!F9+'15'!F9)/G27*100," ")</f>
        <v>3000</v>
      </c>
      <c r="H23" s="125"/>
    </row>
    <row r="24" spans="2:8" ht="16.5" customHeight="1">
      <c r="B24" s="553" t="s">
        <v>79</v>
      </c>
      <c r="C24" s="554"/>
      <c r="D24" s="554"/>
      <c r="E24" s="554"/>
      <c r="F24" s="554"/>
      <c r="G24" s="151">
        <f>_xlfn.IFERROR(G23/(G20+('11'!F28+'12'!F28+'13'!F28+'14'!F28+'15'!F28+'11'!F29+'12'!F29+'13'!F29+'14'!F29+'15'!F29))," ")</f>
        <v>10.298307644777042</v>
      </c>
      <c r="H24" s="125"/>
    </row>
    <row r="25" spans="2:8" ht="16.5" customHeight="1" thickBot="1">
      <c r="B25" s="555" t="s">
        <v>61</v>
      </c>
      <c r="C25" s="556"/>
      <c r="D25" s="556"/>
      <c r="E25" s="556"/>
      <c r="F25" s="557"/>
      <c r="G25" s="254">
        <f>_xlfn.IFERROR(('11'!F10*'11'!F9+'12'!F10*'12'!F9+'13'!F10*'13'!F9+'14'!F10*'14'!F9+'15'!F10*'15'!F9)/(G23*G27/100)," ")</f>
        <v>11.166666666666666</v>
      </c>
      <c r="H25" s="125"/>
    </row>
    <row r="26" spans="1:8" ht="5.25" customHeight="1" thickBot="1">
      <c r="A26" s="100"/>
      <c r="B26" s="152"/>
      <c r="C26" s="152"/>
      <c r="D26" s="152"/>
      <c r="E26" s="152"/>
      <c r="F26" s="152"/>
      <c r="G26" s="153"/>
      <c r="H26" s="125"/>
    </row>
    <row r="27" spans="1:9" s="100" customFormat="1" ht="15" customHeight="1">
      <c r="A27"/>
      <c r="B27" s="412" t="s">
        <v>150</v>
      </c>
      <c r="C27" s="256">
        <f>'11'!D9</f>
        <v>13</v>
      </c>
      <c r="D27" s="191"/>
      <c r="E27" s="255"/>
      <c r="F27" s="255" t="s">
        <v>60</v>
      </c>
      <c r="G27" s="257">
        <f>'11'!D10</f>
        <v>500</v>
      </c>
      <c r="H27" s="125"/>
      <c r="I27"/>
    </row>
    <row r="28" spans="2:8" ht="15" customHeight="1">
      <c r="B28" s="548" t="s">
        <v>140</v>
      </c>
      <c r="C28" s="549"/>
      <c r="D28" s="359">
        <f>'11'!D11</f>
        <v>45</v>
      </c>
      <c r="E28" s="357" t="s">
        <v>138</v>
      </c>
      <c r="F28" s="358" t="s">
        <v>139</v>
      </c>
      <c r="G28" s="258">
        <f>G27*D28/1000</f>
        <v>22.5</v>
      </c>
      <c r="H28" s="150"/>
    </row>
    <row r="29" spans="2:8" ht="15" customHeight="1" thickBot="1">
      <c r="B29" s="565" t="s">
        <v>131</v>
      </c>
      <c r="C29" s="566"/>
      <c r="D29" s="413">
        <f>'11'!D8</f>
        <v>0.7</v>
      </c>
      <c r="E29" s="414"/>
      <c r="F29" s="415"/>
      <c r="G29" s="416"/>
      <c r="H29" s="125"/>
    </row>
    <row r="30" ht="15" customHeight="1">
      <c r="H30" s="125"/>
    </row>
    <row r="31" spans="1:7" ht="15.75">
      <c r="A31" s="79"/>
      <c r="B31" s="192"/>
      <c r="C31" s="192"/>
      <c r="D31" s="192"/>
      <c r="E31" s="192"/>
      <c r="F31" s="192"/>
      <c r="G31" s="193"/>
    </row>
    <row r="32" spans="1:7" ht="17.25" thickBot="1">
      <c r="A32" s="100"/>
      <c r="B32" s="558" t="str">
        <f>"Total du flux annuel moyen de trésorerie durant la période de l'emprunt. ("&amp;G27&amp;" m²)"</f>
        <v>Total du flux annuel moyen de trésorerie durant la période de l'emprunt. (500 m²)</v>
      </c>
      <c r="C32" s="558"/>
      <c r="D32" s="558"/>
      <c r="E32" s="558"/>
      <c r="F32" s="558"/>
      <c r="G32" s="558"/>
    </row>
    <row r="33" spans="1:7" s="45" customFormat="1" ht="22.5" customHeight="1">
      <c r="A33" s="100"/>
      <c r="B33" s="488" t="str">
        <f>"Montant de l'emprunt  "&amp;I34*100&amp;" % de l'investissement"</f>
        <v>Montant de l'emprunt  75 % de l'investissement</v>
      </c>
      <c r="C33" s="489"/>
      <c r="D33" s="277">
        <f>G23*I34*G27/100</f>
        <v>11250</v>
      </c>
      <c r="E33" s="284"/>
      <c r="F33" s="264" t="s">
        <v>54</v>
      </c>
      <c r="G33" s="265">
        <v>4</v>
      </c>
    </row>
    <row r="34" spans="1:10" s="45" customFormat="1" ht="15.75" customHeight="1" thickBot="1">
      <c r="A34" s="100"/>
      <c r="B34" s="490" t="str">
        <f>"Durée de l'emprunt  "&amp;I35*100&amp;" % de l'amortissement"</f>
        <v>Durée de l'emprunt  50 % de l'amortissement</v>
      </c>
      <c r="C34" s="491"/>
      <c r="D34" s="278">
        <f>G25*I35</f>
        <v>5.583333333333333</v>
      </c>
      <c r="E34" s="285"/>
      <c r="F34" s="266" t="s">
        <v>55</v>
      </c>
      <c r="G34" s="271">
        <f>1!F35</f>
        <v>0.05</v>
      </c>
      <c r="I34" s="276">
        <v>0.75</v>
      </c>
      <c r="J34" s="269" t="s">
        <v>99</v>
      </c>
    </row>
    <row r="35" spans="1:10" s="45" customFormat="1" ht="15.75" customHeight="1">
      <c r="A35" s="79"/>
      <c r="B35" s="109" t="s">
        <v>104</v>
      </c>
      <c r="C35" s="107"/>
      <c r="D35" s="108"/>
      <c r="E35" s="543" t="s">
        <v>105</v>
      </c>
      <c r="F35" s="544"/>
      <c r="G35" s="108"/>
      <c r="I35" s="276">
        <v>0.5</v>
      </c>
      <c r="J35" s="269" t="s">
        <v>98</v>
      </c>
    </row>
    <row r="36" spans="1:7" s="85" customFormat="1" ht="15.75">
      <c r="A36" s="79"/>
      <c r="B36" s="492" t="str">
        <f>"Économies de main d'œuvre sur "&amp;G27&amp;" m²"</f>
        <v>Économies de main d'œuvre sur 500 m²</v>
      </c>
      <c r="C36" s="493"/>
      <c r="D36" s="165">
        <f>D16*G27/100</f>
        <v>1681.55</v>
      </c>
      <c r="E36" s="286"/>
      <c r="F36" s="7" t="s">
        <v>69</v>
      </c>
      <c r="G36" s="112">
        <f>_xlfn.IFERROR(D33/D34," ")</f>
        <v>2014.9253731343285</v>
      </c>
    </row>
    <row r="37" spans="2:7" ht="15.75">
      <c r="B37" s="176" t="s">
        <v>51</v>
      </c>
      <c r="C37" s="177"/>
      <c r="D37" s="174"/>
      <c r="E37" s="287"/>
      <c r="F37" s="39" t="s">
        <v>44</v>
      </c>
      <c r="G37" s="112">
        <f>_xlfn.IFERROR((PMT(G34/G33,G33*D34,-D33)*G33*D34-D33)/D34," ")</f>
        <v>306.8053831854753</v>
      </c>
    </row>
    <row r="38" spans="2:10" ht="15.75">
      <c r="B38" s="185" t="s">
        <v>18</v>
      </c>
      <c r="C38" s="186"/>
      <c r="D38" s="187"/>
      <c r="E38" s="288"/>
      <c r="F38" s="188" t="s">
        <v>46</v>
      </c>
      <c r="G38" s="187"/>
      <c r="J38" s="82"/>
    </row>
    <row r="39" spans="2:7" ht="16.5" thickBot="1">
      <c r="B39" s="289" t="s">
        <v>45</v>
      </c>
      <c r="C39" s="290"/>
      <c r="D39" s="291">
        <f>SUM(D36:D38)</f>
        <v>1681.55</v>
      </c>
      <c r="E39" s="545" t="s">
        <v>12</v>
      </c>
      <c r="F39" s="546"/>
      <c r="G39" s="114">
        <f>SUM(G36:G38)</f>
        <v>2321.7307563198037</v>
      </c>
    </row>
    <row r="40" spans="2:7" ht="17.25" customHeight="1" thickBot="1">
      <c r="B40" s="539" t="s">
        <v>56</v>
      </c>
      <c r="C40" s="540"/>
      <c r="D40" s="540"/>
      <c r="E40" s="540"/>
      <c r="F40" s="541"/>
      <c r="G40" s="158">
        <f>D39-G39</f>
        <v>-640.1807563198038</v>
      </c>
    </row>
    <row r="41" spans="2:7" ht="6" customHeight="1" thickBot="1">
      <c r="B41" s="55"/>
      <c r="C41" s="6"/>
      <c r="D41" s="6"/>
      <c r="E41" s="6"/>
      <c r="F41" s="6"/>
      <c r="G41" s="98"/>
    </row>
    <row r="42" spans="2:7" ht="18.75" customHeight="1" thickBot="1">
      <c r="B42" s="494" t="s">
        <v>70</v>
      </c>
      <c r="C42" s="495"/>
      <c r="D42" s="495"/>
      <c r="E42" s="495"/>
      <c r="F42" s="500"/>
      <c r="G42" s="158">
        <f>_xlfn.IFERROR(G40*100/G27," ")</f>
        <v>-128.03615126396076</v>
      </c>
    </row>
    <row r="43" ht="17.25" customHeight="1"/>
  </sheetData>
  <sheetProtection sheet="1"/>
  <mergeCells count="22">
    <mergeCell ref="B34:C34"/>
    <mergeCell ref="B36:C36"/>
    <mergeCell ref="B40:F40"/>
    <mergeCell ref="B42:F42"/>
    <mergeCell ref="E39:F39"/>
    <mergeCell ref="E35:F35"/>
    <mergeCell ref="B3:G3"/>
    <mergeCell ref="B4:G4"/>
    <mergeCell ref="B2:G2"/>
    <mergeCell ref="B32:G32"/>
    <mergeCell ref="B33:C33"/>
    <mergeCell ref="B21:F21"/>
    <mergeCell ref="B9:D9"/>
    <mergeCell ref="F9:G9"/>
    <mergeCell ref="D5:G5"/>
    <mergeCell ref="B29:C29"/>
    <mergeCell ref="B17:C17"/>
    <mergeCell ref="B28:C28"/>
    <mergeCell ref="B20:F20"/>
    <mergeCell ref="B23:F23"/>
    <mergeCell ref="B24:F24"/>
    <mergeCell ref="B25:F25"/>
  </mergeCells>
  <conditionalFormatting sqref="E27:F27 D29 D25:D27 D22:D23 H23:H30 H21">
    <cfRule type="cellIs" priority="11" dxfId="1898" operator="lessThan" stopIfTrue="1">
      <formula>0</formula>
    </cfRule>
  </conditionalFormatting>
  <conditionalFormatting sqref="G31 G21 G40 G42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" footer="0"/>
  <pageSetup fitToHeight="1" fitToWidth="1" horizontalDpi="600" verticalDpi="600" orientation="landscape" paperSize="9" scale="92" r:id="rId1"/>
  <ignoredErrors>
    <ignoredError sqref="C27 G27 D28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I26"/>
  <sheetViews>
    <sheetView showGridLines="0" showZeros="0" zoomScale="90" zoomScaleNormal="90" zoomScalePageLayoutView="0" workbookViewId="0" topLeftCell="A3">
      <selection activeCell="B3" sqref="B3:G3"/>
    </sheetView>
  </sheetViews>
  <sheetFormatPr defaultColWidth="11.421875" defaultRowHeight="15"/>
  <cols>
    <col min="1" max="1" width="8.57421875" style="0" customWidth="1"/>
    <col min="2" max="2" width="42.57421875" style="0" customWidth="1"/>
    <col min="3" max="3" width="11.421875" style="0" customWidth="1"/>
    <col min="4" max="4" width="14.7109375" style="0" customWidth="1"/>
    <col min="5" max="5" width="2.28125" style="0" customWidth="1"/>
    <col min="6" max="6" width="39.8515625" style="0" customWidth="1"/>
    <col min="7" max="7" width="16.7109375" style="0" customWidth="1"/>
  </cols>
  <sheetData>
    <row r="1" ht="7.5" customHeight="1"/>
    <row r="2" spans="2:7" ht="26.25">
      <c r="B2" s="567" t="s">
        <v>86</v>
      </c>
      <c r="C2" s="568"/>
      <c r="D2" s="568"/>
      <c r="E2" s="568"/>
      <c r="F2" s="568"/>
      <c r="G2" s="568"/>
    </row>
    <row r="3" spans="2:7" ht="20.25">
      <c r="B3" s="569" t="str">
        <f>1!B4:F4</f>
        <v>Tomates beefsteak (culture)</v>
      </c>
      <c r="C3" s="569"/>
      <c r="D3" s="569"/>
      <c r="E3" s="569"/>
      <c r="F3" s="569"/>
      <c r="G3" s="569"/>
    </row>
    <row r="4" spans="2:7" ht="15.75" thickBot="1">
      <c r="B4" s="336"/>
      <c r="C4" s="410">
        <f>1!$C$5</f>
        <v>8</v>
      </c>
      <c r="D4" s="530" t="s">
        <v>149</v>
      </c>
      <c r="E4" s="530"/>
      <c r="F4" s="530"/>
      <c r="G4" s="530"/>
    </row>
    <row r="5" spans="2:7" ht="15.75">
      <c r="B5" s="201" t="s">
        <v>87</v>
      </c>
      <c r="C5" s="202"/>
      <c r="D5" s="203" t="s">
        <v>7</v>
      </c>
      <c r="E5" s="204"/>
      <c r="F5" s="205" t="s">
        <v>22</v>
      </c>
      <c r="G5" s="206" t="s">
        <v>8</v>
      </c>
    </row>
    <row r="6" spans="2:9" ht="15.75">
      <c r="B6" s="207" t="s">
        <v>1</v>
      </c>
      <c r="C6" s="208"/>
      <c r="D6" s="209">
        <f>(1!D13+2!D13+3!D13+4!D13+5!D13+6!D13+7!D13+8!D13+9!D13+'10'!D13)+('11'!D15+'12'!D15+'13'!D15+'14'!D15+'15'!D15)</f>
        <v>99.00000000000001</v>
      </c>
      <c r="E6" s="210"/>
      <c r="F6" s="211" t="s">
        <v>2</v>
      </c>
      <c r="G6" s="212">
        <f>(1!F13+2!F13+3!F13+4!F13+5!F13+6!F13+7!F13+8!F13+9!F13+'10'!F13)+('11'!F15+'12'!F15+'13'!F15+'14'!F15+'15'!F15)</f>
        <v>0</v>
      </c>
      <c r="H6" s="79"/>
      <c r="I6" s="251"/>
    </row>
    <row r="7" spans="2:7" ht="6" customHeight="1">
      <c r="B7" s="213"/>
      <c r="C7" s="214"/>
      <c r="D7" s="214"/>
      <c r="E7" s="210"/>
      <c r="F7" s="214"/>
      <c r="G7" s="215"/>
    </row>
    <row r="8" spans="2:7" ht="20.25" customHeight="1">
      <c r="B8" s="216" t="s">
        <v>88</v>
      </c>
      <c r="C8" s="217"/>
      <c r="D8" s="218"/>
      <c r="E8" s="210"/>
      <c r="F8" s="219" t="s">
        <v>23</v>
      </c>
      <c r="G8" s="220"/>
    </row>
    <row r="9" spans="2:7" ht="18" customHeight="1">
      <c r="B9" s="221" t="s">
        <v>82</v>
      </c>
      <c r="C9" s="222" t="s">
        <v>63</v>
      </c>
      <c r="D9" s="223" t="s">
        <v>38</v>
      </c>
      <c r="E9" s="224"/>
      <c r="F9" s="403"/>
      <c r="G9" s="225" t="s">
        <v>38</v>
      </c>
    </row>
    <row r="10" spans="2:7" ht="15">
      <c r="B10" s="399" t="s">
        <v>81</v>
      </c>
      <c r="C10" s="226">
        <f>'CC et P'!C23</f>
        <v>5.569999999999999</v>
      </c>
      <c r="D10" s="401">
        <f>'CC et P'!D23</f>
        <v>72.41</v>
      </c>
      <c r="E10" s="227"/>
      <c r="F10" s="404"/>
      <c r="G10" s="402">
        <f>'CC et P'!G23</f>
        <v>45.76294679701702</v>
      </c>
    </row>
    <row r="11" spans="2:7" ht="25.5">
      <c r="B11" s="399" t="s">
        <v>80</v>
      </c>
      <c r="C11" s="226">
        <f>'CC et P'!C37</f>
        <v>82.87</v>
      </c>
      <c r="D11" s="401">
        <f>'CC et P'!D37</f>
        <v>1077.3100000000002</v>
      </c>
      <c r="E11" s="227"/>
      <c r="F11" s="404"/>
      <c r="G11" s="402">
        <f>'CC et P'!G37</f>
        <v>566.4032208998326</v>
      </c>
    </row>
    <row r="12" spans="2:7" ht="15">
      <c r="B12" s="399" t="s">
        <v>83</v>
      </c>
      <c r="C12" s="228">
        <f>'C&amp;E'!C16</f>
        <v>25.87</v>
      </c>
      <c r="D12" s="401">
        <f>'C&amp;E'!D16</f>
        <v>336.31</v>
      </c>
      <c r="E12" s="227"/>
      <c r="F12" s="404"/>
      <c r="G12" s="402">
        <f>'C&amp;E'!G16</f>
        <v>417.13091732768135</v>
      </c>
    </row>
    <row r="13" spans="2:7" ht="15.75" thickBot="1">
      <c r="B13" s="400" t="s">
        <v>84</v>
      </c>
      <c r="C13" s="229">
        <f>SUM(C11:C12)</f>
        <v>108.74000000000001</v>
      </c>
      <c r="D13" s="230">
        <f>SUM(D11:D12)</f>
        <v>1413.6200000000001</v>
      </c>
      <c r="E13" s="231"/>
      <c r="F13" s="232" t="s">
        <v>85</v>
      </c>
      <c r="G13" s="233">
        <f>SUM(G11:G12)</f>
        <v>983.534138227514</v>
      </c>
    </row>
    <row r="14" spans="1:9" s="85" customFormat="1" ht="15.75" customHeight="1">
      <c r="A14"/>
      <c r="B14" s="535" t="s">
        <v>132</v>
      </c>
      <c r="C14" s="547"/>
      <c r="D14" s="405">
        <f>+'C&amp;E'!D17+'CC et P'!D40</f>
        <v>326.22</v>
      </c>
      <c r="E14"/>
      <c r="F14"/>
      <c r="G14"/>
      <c r="I14"/>
    </row>
    <row r="15" spans="2:7" s="85" customFormat="1" ht="16.5" customHeight="1">
      <c r="B15" s="244" t="s">
        <v>40</v>
      </c>
      <c r="C15" s="245"/>
      <c r="D15" s="234">
        <f>D13+D6</f>
        <v>1512.6200000000001</v>
      </c>
      <c r="E15" s="246"/>
      <c r="F15" s="247" t="s">
        <v>89</v>
      </c>
      <c r="G15" s="235">
        <f>G13+G6</f>
        <v>983.534138227514</v>
      </c>
    </row>
    <row r="16" spans="2:7" ht="6.75" customHeight="1">
      <c r="B16" s="236"/>
      <c r="C16" s="237"/>
      <c r="D16" s="238"/>
      <c r="E16" s="239"/>
      <c r="F16" s="240"/>
      <c r="G16" s="241"/>
    </row>
    <row r="17" spans="2:7" ht="16.5" customHeight="1">
      <c r="B17" s="570" t="s">
        <v>90</v>
      </c>
      <c r="C17" s="571"/>
      <c r="D17" s="571"/>
      <c r="E17" s="571"/>
      <c r="F17" s="572"/>
      <c r="G17" s="242">
        <f>D15-G15</f>
        <v>529.0858617724862</v>
      </c>
    </row>
    <row r="18" spans="2:7" s="79" customFormat="1" ht="6.75" customHeight="1" thickBot="1">
      <c r="B18" s="221"/>
      <c r="C18" s="240"/>
      <c r="D18" s="240"/>
      <c r="E18" s="240"/>
      <c r="F18" s="240"/>
      <c r="G18" s="243"/>
    </row>
    <row r="19" spans="2:9" ht="16.5" customHeight="1">
      <c r="B19" s="573" t="s">
        <v>53</v>
      </c>
      <c r="C19" s="574"/>
      <c r="D19" s="574"/>
      <c r="E19" s="574"/>
      <c r="F19" s="575"/>
      <c r="G19" s="250">
        <f>'C&amp;E'!G23+'CC et P'!G45</f>
        <v>7752</v>
      </c>
      <c r="H19" s="125"/>
      <c r="I19" s="85"/>
    </row>
    <row r="20" spans="2:9" ht="16.5" customHeight="1">
      <c r="B20" s="576" t="s">
        <v>79</v>
      </c>
      <c r="C20" s="577"/>
      <c r="D20" s="577"/>
      <c r="E20" s="577"/>
      <c r="F20" s="577"/>
      <c r="G20" s="196">
        <f>_xlfn.IFERROR(('C&amp;E'!G23*'C&amp;E'!G24+'CC et P'!G45*'CC et P'!G46)/Global!G19," ")</f>
        <v>6.521661893881913</v>
      </c>
      <c r="H20" s="125"/>
      <c r="I20" s="125"/>
    </row>
    <row r="21" spans="2:9" ht="16.5" customHeight="1">
      <c r="B21" s="576" t="s">
        <v>61</v>
      </c>
      <c r="C21" s="577"/>
      <c r="D21" s="577"/>
      <c r="E21" s="577"/>
      <c r="F21" s="578"/>
      <c r="G21" s="196">
        <f>_xlfn.IFERROR(('C&amp;E'!G25*'C&amp;E'!G23+'CC et P'!G47*'CC et P'!G45)/Global!G19," ")</f>
        <v>12.985552115583076</v>
      </c>
      <c r="H21" s="448"/>
      <c r="I21" s="124"/>
    </row>
    <row r="22" spans="1:9" s="85" customFormat="1" ht="16.5" customHeight="1" thickBot="1">
      <c r="A22" s="195"/>
      <c r="B22" s="583" t="s">
        <v>31</v>
      </c>
      <c r="C22" s="584"/>
      <c r="D22" s="584"/>
      <c r="E22" s="584"/>
      <c r="F22" s="585"/>
      <c r="G22" s="389">
        <f>_xlfn.IFERROR(G17/100/D26," ")</f>
        <v>0.11757463594944137</v>
      </c>
      <c r="I22"/>
    </row>
    <row r="23" spans="2:9" s="385" customFormat="1" ht="6" customHeight="1" thickBot="1">
      <c r="B23" s="386"/>
      <c r="C23" s="386"/>
      <c r="D23" s="386"/>
      <c r="E23" s="386"/>
      <c r="F23" s="386"/>
      <c r="G23" s="387"/>
      <c r="I23" s="100"/>
    </row>
    <row r="24" spans="2:8" ht="16.5" customHeight="1">
      <c r="B24" s="411" t="s">
        <v>150</v>
      </c>
      <c r="C24" s="388">
        <f>'CC et P'!C49</f>
        <v>13</v>
      </c>
      <c r="D24" s="388">
        <f>'C&amp;E'!C27</f>
        <v>13</v>
      </c>
      <c r="E24" s="197"/>
      <c r="F24" s="198" t="s">
        <v>60</v>
      </c>
      <c r="G24" s="248">
        <f>'CC et P'!G49</f>
        <v>500</v>
      </c>
      <c r="H24" s="150"/>
    </row>
    <row r="25" spans="2:8" ht="16.5" customHeight="1" thickBot="1">
      <c r="B25" s="579" t="s">
        <v>131</v>
      </c>
      <c r="C25" s="580"/>
      <c r="D25" s="361">
        <f>(+'11'!D8+1!D9)/2</f>
        <v>0.7</v>
      </c>
      <c r="E25" s="199"/>
      <c r="F25" s="200" t="s">
        <v>77</v>
      </c>
      <c r="G25" s="249">
        <f>G24*D26/1000</f>
        <v>22.5</v>
      </c>
      <c r="H25" s="125"/>
    </row>
    <row r="26" spans="2:4" ht="15.75" customHeight="1" thickBot="1">
      <c r="B26" s="581" t="s">
        <v>140</v>
      </c>
      <c r="C26" s="582"/>
      <c r="D26" s="360">
        <f>'C&amp;E'!D28</f>
        <v>45</v>
      </c>
    </row>
  </sheetData>
  <sheetProtection sheet="1"/>
  <mergeCells count="11">
    <mergeCell ref="B25:C25"/>
    <mergeCell ref="B14:C14"/>
    <mergeCell ref="B26:C26"/>
    <mergeCell ref="B22:F22"/>
    <mergeCell ref="B2:G2"/>
    <mergeCell ref="B3:G3"/>
    <mergeCell ref="B17:F17"/>
    <mergeCell ref="B19:F19"/>
    <mergeCell ref="B20:F20"/>
    <mergeCell ref="B21:F21"/>
    <mergeCell ref="D4:G4"/>
  </mergeCells>
  <conditionalFormatting sqref="G17:G18 G22:G23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I20:I21 D19 D21 H19:H21 H24:H25 E24:F24">
    <cfRule type="cellIs" priority="4" dxfId="1898" operator="lessThan" stopIfTrue="1">
      <formula>0</formula>
    </cfRule>
  </conditionalFormatting>
  <conditionalFormatting sqref="D22:D23">
    <cfRule type="cellIs" priority="1" dxfId="1898" operator="lessThan" stopIfTrue="1">
      <formula>0</formula>
    </cfRule>
  </conditionalFormatting>
  <printOptions horizontalCentered="1" verticalCentered="1"/>
  <pageMargins left="0.9055118110236221" right="0.9055118110236221" top="0.9448818897637796" bottom="0.9448818897637796" header="0" footer="0"/>
  <pageSetup fitToHeight="1" fitToWidth="1" horizontalDpi="600" verticalDpi="600" orientation="landscape" paperSize="9" r:id="rId1"/>
  <ignoredErrors>
    <ignoredError sqref="C10:C12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zoomScale="95" zoomScaleNormal="95" zoomScalePageLayoutView="0" workbookViewId="0" topLeftCell="A2">
      <selection activeCell="F4" sqref="F4"/>
    </sheetView>
  </sheetViews>
  <sheetFormatPr defaultColWidth="11.421875" defaultRowHeight="15"/>
  <cols>
    <col min="1" max="1" width="3.28125" style="0" customWidth="1"/>
    <col min="2" max="2" width="65.140625" style="0" customWidth="1"/>
    <col min="3" max="3" width="7.7109375" style="280" customWidth="1"/>
    <col min="4" max="4" width="14.57421875" style="0" customWidth="1"/>
  </cols>
  <sheetData>
    <row r="1" spans="2:3" ht="18">
      <c r="B1" s="464" t="s">
        <v>108</v>
      </c>
      <c r="C1" s="464"/>
    </row>
    <row r="2" spans="2:4" ht="18">
      <c r="B2" s="587" t="str">
        <f>1!I4</f>
        <v>Tomates beefsteak</v>
      </c>
      <c r="C2" s="587"/>
      <c r="D2" s="587"/>
    </row>
    <row r="3" spans="2:4" ht="16.5" customHeight="1" thickBot="1">
      <c r="B3" s="586" t="s">
        <v>147</v>
      </c>
      <c r="C3" s="586"/>
      <c r="D3" s="586"/>
    </row>
    <row r="4" spans="2:4" ht="30.75" thickBot="1">
      <c r="B4" s="437" t="s">
        <v>111</v>
      </c>
      <c r="C4" s="438" t="s">
        <v>146</v>
      </c>
      <c r="D4" s="439" t="s">
        <v>151</v>
      </c>
    </row>
    <row r="5" spans="2:4" ht="15">
      <c r="B5" s="434" t="str">
        <f>1!C$6</f>
        <v>Position des tubes perforés et supports de tiges</v>
      </c>
      <c r="C5" s="435">
        <f>1!$F$30</f>
        <v>0.4615569238154142</v>
      </c>
      <c r="D5" s="436">
        <f>1!$F$7</f>
        <v>250</v>
      </c>
    </row>
    <row r="6" spans="2:4" ht="15">
      <c r="B6" s="433" t="str">
        <f>2!C$6</f>
        <v>Rails de guidage</v>
      </c>
      <c r="C6" s="390">
        <f>2!F$30</f>
        <v>6.4720555518101515</v>
      </c>
      <c r="D6" s="432">
        <f>2!F$7</f>
        <v>6240</v>
      </c>
    </row>
    <row r="7" spans="2:4" ht="15">
      <c r="B7" s="433" t="str">
        <f>3!C$6</f>
        <v>Goutières suspendues</v>
      </c>
      <c r="C7" s="390">
        <f>3!F$30</f>
        <v>12.493307156880242</v>
      </c>
      <c r="D7" s="432">
        <f>3!F$7</f>
        <v>7000</v>
      </c>
    </row>
    <row r="8" spans="2:4" ht="15">
      <c r="B8" s="433" t="str">
        <f>4!C$6</f>
        <v>Tablier de travail</v>
      </c>
      <c r="C8" s="390">
        <f>4!F$30</f>
        <v>0.2607561929595828</v>
      </c>
      <c r="D8" s="432">
        <f>4!F$7</f>
        <v>20</v>
      </c>
    </row>
    <row r="9" spans="2:4" ht="15">
      <c r="B9" s="433" t="str">
        <f>5!C$6</f>
        <v>Chariot d'outils spécialisés</v>
      </c>
      <c r="C9" s="390">
        <f>5!F$30</f>
        <v>17.09401709401709</v>
      </c>
      <c r="D9" s="432">
        <f>5!F$7</f>
        <v>300</v>
      </c>
    </row>
    <row r="10" spans="2:4" ht="15">
      <c r="B10" s="433" t="str">
        <f>6!C$6</f>
        <v>Chariot de récolte</v>
      </c>
      <c r="C10" s="390">
        <f>6!F$30</f>
        <v>0.938350380031904</v>
      </c>
      <c r="D10" s="432">
        <f>6!F$7</f>
        <v>500</v>
      </c>
    </row>
    <row r="11" spans="2:4" ht="15">
      <c r="B11" s="433" t="str">
        <f>7!C$6</f>
        <v>Chariot de travail en hauteur</v>
      </c>
      <c r="C11" s="390">
        <f>7!F$30</f>
        <v>2.6682676272430124</v>
      </c>
      <c r="D11" s="432">
        <f>7!F$7</f>
        <v>6000</v>
      </c>
    </row>
    <row r="12" spans="2:4" ht="15">
      <c r="B12" s="433" t="str">
        <f>8!C$6</f>
        <v>Transpalette</v>
      </c>
      <c r="C12" s="390">
        <f>8!F$30</f>
        <v>3.41130604288499</v>
      </c>
      <c r="D12" s="432">
        <f>8!F$7</f>
        <v>350</v>
      </c>
    </row>
    <row r="13" spans="2:4" ht="15">
      <c r="B13" s="433" t="str">
        <f>9!C$6</f>
        <v>Pulvérisateur </v>
      </c>
      <c r="C13" s="390">
        <f>9!F$30</f>
        <v>2.6513477684489613</v>
      </c>
      <c r="D13" s="432">
        <f>9!F$7</f>
        <v>3000</v>
      </c>
    </row>
    <row r="14" spans="2:4" ht="15">
      <c r="B14" s="433" t="str">
        <f>'10'!C$6</f>
        <v>Broche de transition pour l'abaissage</v>
      </c>
      <c r="C14" s="390">
        <f>'10'!F$30</f>
        <v>8.547008547008547</v>
      </c>
      <c r="D14" s="432">
        <f>'10'!F$7</f>
        <v>100</v>
      </c>
    </row>
    <row r="15" spans="2:4" ht="15">
      <c r="B15" s="433" t="str">
        <f>'11'!C$6</f>
        <v>Convoyeur de boîtes vers la salle de tri</v>
      </c>
      <c r="C15" s="390">
        <f>'11'!$F$38</f>
        <v>10.121457489878543</v>
      </c>
      <c r="D15" s="432">
        <f>'11'!$F$9</f>
        <v>500</v>
      </c>
    </row>
    <row r="16" spans="2:4" ht="15">
      <c r="B16" s="433" t="str">
        <f>'12'!C$6</f>
        <v>Table de travail salle de classement</v>
      </c>
      <c r="C16" s="390">
        <f>'12'!$F$38</f>
        <v>10.465724751439037</v>
      </c>
      <c r="D16" s="432">
        <f>'12'!$F$9</f>
        <v>2000</v>
      </c>
    </row>
    <row r="17" spans="2:4" ht="15">
      <c r="B17" s="433" t="str">
        <f>'13'!C$6</f>
        <v>Étiqueteuse à air comprimé</v>
      </c>
      <c r="C17" s="390">
        <f>'13'!$F$38</f>
        <v>2.849002849002849</v>
      </c>
      <c r="D17" s="432">
        <f>'13'!$F$9</f>
        <v>500</v>
      </c>
    </row>
    <row r="18" spans="2:4" ht="15">
      <c r="B18" s="433" t="str">
        <f>'14'!C$6</f>
        <v>Classeuse usagée pour le calibre</v>
      </c>
      <c r="C18" s="391">
        <f>'14'!$F$38</f>
        <v>41.15226337448558</v>
      </c>
      <c r="D18" s="432">
        <f>'14'!$F$9</f>
        <v>10000</v>
      </c>
    </row>
    <row r="19" spans="2:4" ht="15">
      <c r="B19" s="433" t="str">
        <f>'15'!C$6</f>
        <v>Aménagement espace de travail</v>
      </c>
      <c r="C19" s="390">
        <f>'15'!$F$38</f>
        <v>2.5076797692934614</v>
      </c>
      <c r="D19" s="432">
        <f>'15'!$F$9</f>
        <v>2000</v>
      </c>
    </row>
    <row r="20" spans="2:10" ht="29.25">
      <c r="B20" s="440" t="s">
        <v>113</v>
      </c>
      <c r="C20" s="441">
        <f>'CC et P'!G46</f>
        <v>4.137415839023876</v>
      </c>
      <c r="D20" s="442">
        <f>SUM(D5:D14)</f>
        <v>23760</v>
      </c>
      <c r="E20" s="463"/>
      <c r="F20" s="463"/>
      <c r="G20" s="463"/>
      <c r="H20" s="463"/>
      <c r="I20" s="463"/>
      <c r="J20" s="463"/>
    </row>
    <row r="21" spans="2:4" ht="15">
      <c r="B21" s="443" t="s">
        <v>107</v>
      </c>
      <c r="C21" s="441">
        <f>'C&amp;E'!G24</f>
        <v>10.298307644777042</v>
      </c>
      <c r="D21" s="442">
        <f>SUM(D15:D19)</f>
        <v>15000</v>
      </c>
    </row>
    <row r="22" spans="2:4" ht="15.75" thickBot="1">
      <c r="B22" s="444" t="s">
        <v>106</v>
      </c>
      <c r="C22" s="445">
        <f>Global!G20</f>
        <v>6.521661893881913</v>
      </c>
      <c r="D22" s="446">
        <f>SUM(D20:D21)</f>
        <v>38760</v>
      </c>
    </row>
    <row r="23" spans="1:2" ht="15">
      <c r="A23" s="45"/>
      <c r="B23" s="45"/>
    </row>
  </sheetData>
  <sheetProtection/>
  <mergeCells count="4">
    <mergeCell ref="B1:C1"/>
    <mergeCell ref="E20:J20"/>
    <mergeCell ref="B3:D3"/>
    <mergeCell ref="B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110" r:id="rId1"/>
  <ignoredErrors>
    <ignoredError sqref="D5:D14 D15:D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B88"/>
  <sheetViews>
    <sheetView zoomScale="110" zoomScaleNormal="110" zoomScalePageLayoutView="0" workbookViewId="0" topLeftCell="A1">
      <selection activeCell="B1" sqref="B1"/>
    </sheetView>
  </sheetViews>
  <sheetFormatPr defaultColWidth="11.421875" defaultRowHeight="15"/>
  <cols>
    <col min="1" max="1" width="4.28125" style="0" customWidth="1"/>
    <col min="2" max="2" width="91.28125" style="0" customWidth="1"/>
  </cols>
  <sheetData>
    <row r="1" ht="36">
      <c r="B1" s="298" t="s">
        <v>119</v>
      </c>
    </row>
    <row r="2" ht="4.5" customHeight="1"/>
    <row r="3" ht="57.75">
      <c r="B3" s="299" t="s">
        <v>120</v>
      </c>
    </row>
    <row r="4" ht="1.5" customHeight="1">
      <c r="B4" s="299"/>
    </row>
    <row r="5" ht="75" customHeight="1">
      <c r="B5" s="299" t="s">
        <v>121</v>
      </c>
    </row>
    <row r="6" ht="22.5" customHeight="1">
      <c r="B6" s="301" t="s">
        <v>124</v>
      </c>
    </row>
    <row r="7" ht="3.75" customHeight="1"/>
    <row r="30" ht="21" customHeight="1">
      <c r="B30" s="300" t="s">
        <v>123</v>
      </c>
    </row>
    <row r="31" ht="3.75" customHeight="1"/>
    <row r="73" ht="12" customHeight="1"/>
    <row r="86" ht="94.5" customHeight="1"/>
    <row r="87" ht="15.75">
      <c r="B87" s="300" t="s">
        <v>125</v>
      </c>
    </row>
    <row r="88" ht="15.75">
      <c r="B88" s="300" t="s">
        <v>126</v>
      </c>
    </row>
    <row r="89" ht="3.75" customHeight="1"/>
    <row r="114" ht="18.75" customHeight="1"/>
    <row r="115" ht="16.5" customHeight="1"/>
    <row r="133" ht="33.75" customHeight="1"/>
    <row r="138" ht="17.25" customHeight="1"/>
    <row r="176" ht="2.25" customHeight="1"/>
  </sheetData>
  <sheetProtection sheet="1"/>
  <printOptions/>
  <pageMargins left="0.7" right="0.7" top="0.75" bottom="0.75" header="0.3" footer="0.3"/>
  <pageSetup horizontalDpi="300" verticalDpi="300" orientation="portrait" r:id="rId9"/>
  <legacyDrawing r:id="rId8"/>
  <oleObjects>
    <oleObject progId="Word.Document.12" shapeId="972640" r:id="rId1"/>
    <oleObject progId="Word.Document.12" shapeId="972641" r:id="rId2"/>
    <oleObject progId="Word.Document.12" shapeId="972642" r:id="rId3"/>
    <oleObject progId="Word.Document.12" shapeId="972643" r:id="rId4"/>
    <oleObject progId="Word.Document.12" shapeId="972644" r:id="rId5"/>
    <oleObject progId="Word.Document.12" shapeId="972645" r:id="rId6"/>
    <oleObject progId="Word.Document.12" shapeId="972646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J43"/>
  <sheetViews>
    <sheetView showZeros="0" zoomScale="90" zoomScaleNormal="90" zoomScalePageLayoutView="0" workbookViewId="0" topLeftCell="A2">
      <selection activeCell="E17" sqref="E17"/>
    </sheetView>
  </sheetViews>
  <sheetFormatPr defaultColWidth="11.421875" defaultRowHeight="15"/>
  <cols>
    <col min="1" max="1" width="5.421875" style="0" customWidth="1"/>
    <col min="2" max="2" width="42.57421875" style="0" customWidth="1"/>
    <col min="3" max="3" width="10.7109375" style="0" customWidth="1"/>
    <col min="4" max="4" width="14.7109375" style="0" customWidth="1"/>
    <col min="5" max="5" width="39.8515625" style="0" customWidth="1"/>
    <col min="6" max="6" width="14.7109375" style="0" customWidth="1"/>
    <col min="7" max="7" width="2.28125" style="0" customWidth="1"/>
    <col min="9" max="9" width="20.7109375" style="0" customWidth="1"/>
  </cols>
  <sheetData>
    <row r="1" ht="15.75" hidden="1" thickBot="1"/>
    <row r="2" spans="2:6" ht="26.25">
      <c r="B2" s="467" t="s">
        <v>72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10" ht="20.25">
      <c r="B4" s="470" t="str">
        <f>CONCATENATE(I4," "&amp;J4)</f>
        <v>Tomates beefsteak (culture)</v>
      </c>
      <c r="C4" s="471"/>
      <c r="D4" s="471"/>
      <c r="E4" s="471"/>
      <c r="F4" s="472"/>
      <c r="I4" s="281" t="s">
        <v>152</v>
      </c>
      <c r="J4" s="282" t="s">
        <v>102</v>
      </c>
    </row>
    <row r="5" spans="2:6" ht="15">
      <c r="B5" s="303"/>
      <c r="C5" s="409"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153</v>
      </c>
      <c r="D6" s="473"/>
      <c r="E6" s="473"/>
      <c r="F6" s="474"/>
    </row>
    <row r="7" spans="2:7" ht="15">
      <c r="B7" s="86" t="s">
        <v>150</v>
      </c>
      <c r="C7" s="160"/>
      <c r="D7" s="353">
        <v>13</v>
      </c>
      <c r="E7" s="343" t="s">
        <v>53</v>
      </c>
      <c r="F7" s="344">
        <v>250</v>
      </c>
      <c r="G7" s="80"/>
    </row>
    <row r="8" spans="2:6" ht="15">
      <c r="B8" s="86" t="s">
        <v>39</v>
      </c>
      <c r="C8" s="159"/>
      <c r="D8" s="354">
        <v>500</v>
      </c>
      <c r="E8" s="346" t="s">
        <v>34</v>
      </c>
      <c r="F8" s="347">
        <v>8</v>
      </c>
    </row>
    <row r="9" spans="2:7" ht="15.75" thickBot="1">
      <c r="B9" s="485" t="s">
        <v>131</v>
      </c>
      <c r="C9" s="486"/>
      <c r="D9" s="355">
        <v>0.7</v>
      </c>
      <c r="E9" s="349" t="s">
        <v>42</v>
      </c>
      <c r="F9" s="355">
        <v>0.05</v>
      </c>
      <c r="G9" s="82"/>
    </row>
    <row r="10" spans="2:6" ht="16.5" customHeight="1">
      <c r="B10" s="51" t="s">
        <v>9</v>
      </c>
      <c r="C10" s="73"/>
      <c r="D10" s="17" t="s">
        <v>7</v>
      </c>
      <c r="E10" s="87" t="s">
        <v>22</v>
      </c>
      <c r="F10" s="88" t="s">
        <v>8</v>
      </c>
    </row>
    <row r="11" spans="2:6" ht="15.75">
      <c r="B11" s="176" t="s">
        <v>18</v>
      </c>
      <c r="C11" s="177"/>
      <c r="D11" s="178"/>
      <c r="E11" s="179" t="s">
        <v>18</v>
      </c>
      <c r="F11" s="178"/>
    </row>
    <row r="12" spans="2:6" ht="15.75">
      <c r="B12" s="176" t="s">
        <v>18</v>
      </c>
      <c r="C12" s="177"/>
      <c r="D12" s="180"/>
      <c r="E12" s="181"/>
      <c r="F12" s="180"/>
    </row>
    <row r="13" spans="2:6" ht="16.5" thickBot="1">
      <c r="B13" s="89" t="s">
        <v>1</v>
      </c>
      <c r="C13" s="90"/>
      <c r="D13" s="114">
        <f>SUM(D11:D12)</f>
        <v>0</v>
      </c>
      <c r="E13" s="91" t="s">
        <v>2</v>
      </c>
      <c r="F13" s="114">
        <f>SUM(F11:F12)</f>
        <v>0</v>
      </c>
    </row>
    <row r="14" spans="2:6" ht="3.75" customHeight="1" thickBot="1">
      <c r="B14" s="57"/>
      <c r="C14" s="9"/>
      <c r="D14" s="8"/>
      <c r="E14" s="9"/>
      <c r="F14" s="10"/>
    </row>
    <row r="15" spans="2:6" ht="15.75">
      <c r="B15" s="58" t="s">
        <v>3</v>
      </c>
      <c r="C15" s="76"/>
      <c r="D15" s="15"/>
      <c r="E15" s="36" t="s">
        <v>23</v>
      </c>
      <c r="F15" s="16"/>
    </row>
    <row r="16" spans="2:6" ht="15">
      <c r="B16" s="54"/>
      <c r="C16" s="327" t="s">
        <v>135</v>
      </c>
      <c r="D16" s="326" t="s">
        <v>133</v>
      </c>
      <c r="E16" s="20" t="s">
        <v>18</v>
      </c>
      <c r="F16" s="326" t="s">
        <v>38</v>
      </c>
    </row>
    <row r="17" spans="1:9" ht="15">
      <c r="A17" s="79"/>
      <c r="B17" s="84" t="s">
        <v>48</v>
      </c>
      <c r="C17" s="77"/>
      <c r="D17" s="27"/>
      <c r="E17" s="323" t="s">
        <v>92</v>
      </c>
      <c r="F17" s="309"/>
      <c r="I17">
        <v>13.5</v>
      </c>
    </row>
    <row r="18" spans="1:9" ht="15" customHeight="1">
      <c r="A18" s="117"/>
      <c r="B18" s="311" t="s">
        <v>154</v>
      </c>
      <c r="C18" s="304">
        <v>0.17</v>
      </c>
      <c r="D18" s="307">
        <f>C18*$D$7*(1+(1-D$9))</f>
        <v>2.873</v>
      </c>
      <c r="E18" s="323" t="s">
        <v>128</v>
      </c>
      <c r="F18" s="309"/>
      <c r="I18">
        <v>4</v>
      </c>
    </row>
    <row r="19" spans="1:9" ht="15">
      <c r="A19" s="117"/>
      <c r="B19" s="311" t="s">
        <v>155</v>
      </c>
      <c r="C19" s="304">
        <v>0.06</v>
      </c>
      <c r="D19" s="307">
        <f>C19*$D$7*(1+(1-D$9))</f>
        <v>1.014</v>
      </c>
      <c r="E19" s="323" t="s">
        <v>127</v>
      </c>
      <c r="F19" s="309">
        <f>$D$7*(1+(1-D$9))*0.33</f>
        <v>5.577000000000001</v>
      </c>
      <c r="I19">
        <v>4</v>
      </c>
    </row>
    <row r="20" spans="1:10" ht="25.5">
      <c r="A20" s="117"/>
      <c r="B20" s="312" t="s">
        <v>47</v>
      </c>
      <c r="C20" s="175"/>
      <c r="D20" s="308"/>
      <c r="E20" s="323"/>
      <c r="F20" s="309"/>
      <c r="G20" s="82"/>
      <c r="I20">
        <v>6</v>
      </c>
      <c r="J20">
        <f>0.5/8</f>
        <v>0.0625</v>
      </c>
    </row>
    <row r="21" spans="1:10" ht="15">
      <c r="A21" s="117"/>
      <c r="B21" s="311" t="s">
        <v>154</v>
      </c>
      <c r="C21" s="304">
        <v>5.17</v>
      </c>
      <c r="D21" s="307">
        <f>C21*$D$7*(1+(1-D$9))</f>
        <v>87.37299999999999</v>
      </c>
      <c r="E21" s="323"/>
      <c r="F21" s="309"/>
      <c r="G21" s="79"/>
      <c r="I21">
        <v>2.5</v>
      </c>
      <c r="J21">
        <f>10/40</f>
        <v>0.25</v>
      </c>
    </row>
    <row r="22" spans="1:9" ht="15">
      <c r="A22" s="117"/>
      <c r="B22" s="311" t="s">
        <v>155</v>
      </c>
      <c r="C22" s="304">
        <v>1.34</v>
      </c>
      <c r="D22" s="307">
        <f>C22*$D$7*(1+(1-D$9))</f>
        <v>22.646000000000004</v>
      </c>
      <c r="E22" s="362" t="s">
        <v>28</v>
      </c>
      <c r="F22" s="307">
        <f>_xlfn.IFERROR(F7/F8*100/D8," ")</f>
        <v>6.25</v>
      </c>
      <c r="G22" s="79"/>
      <c r="I22">
        <f>SUM(I17:I21)</f>
        <v>30</v>
      </c>
    </row>
    <row r="23" spans="1:10" ht="15">
      <c r="A23" s="117"/>
      <c r="B23" s="311"/>
      <c r="C23" s="304"/>
      <c r="D23" s="307">
        <f>C23*$D$7*(1+(1-D$9))</f>
        <v>0</v>
      </c>
      <c r="E23" s="362" t="s">
        <v>52</v>
      </c>
      <c r="F23" s="307">
        <f>_xlfn.IFERROR((((-(PMT($F$9/1,$F$8*1,$F$7)))*$F$8*1-$F$7))/$F$8*100/$D$8," ")</f>
        <v>1.4860906813840573</v>
      </c>
      <c r="G23" s="111"/>
      <c r="I23">
        <v>15</v>
      </c>
      <c r="J23" t="s">
        <v>130</v>
      </c>
    </row>
    <row r="24" spans="1:9" ht="15">
      <c r="A24" s="79"/>
      <c r="B24" s="311"/>
      <c r="C24" s="305"/>
      <c r="D24" s="307">
        <f>C24*$D$7*(1+(1-D$9))</f>
        <v>0</v>
      </c>
      <c r="E24" s="313" t="s">
        <v>18</v>
      </c>
      <c r="F24" s="310"/>
      <c r="G24" s="79"/>
      <c r="I24">
        <f>SUM(I22:I23)</f>
        <v>45</v>
      </c>
    </row>
    <row r="25" spans="1:6" ht="16.5" thickBot="1">
      <c r="A25" s="79"/>
      <c r="B25" s="89" t="s">
        <v>5</v>
      </c>
      <c r="C25" s="113">
        <f>SUM(C18:C24)</f>
        <v>6.74</v>
      </c>
      <c r="D25" s="115">
        <f>SUM(D17:D24)</f>
        <v>113.90599999999999</v>
      </c>
      <c r="E25" s="91" t="s">
        <v>6</v>
      </c>
      <c r="F25" s="116">
        <f>SUM(F17:F24)</f>
        <v>13.31309068138406</v>
      </c>
    </row>
    <row r="26" spans="1:6" ht="5.25" customHeight="1">
      <c r="A26" s="79"/>
      <c r="B26" s="102"/>
      <c r="C26" s="103"/>
      <c r="D26" s="104"/>
      <c r="E26" s="105"/>
      <c r="F26" s="106"/>
    </row>
    <row r="27" spans="1:6" s="85" customFormat="1" ht="16.5" customHeight="1" thickBot="1">
      <c r="A27" s="195"/>
      <c r="B27" s="315" t="s">
        <v>40</v>
      </c>
      <c r="C27" s="316"/>
      <c r="D27" s="306">
        <f>+D25+D13</f>
        <v>113.90599999999999</v>
      </c>
      <c r="E27" s="316" t="s">
        <v>41</v>
      </c>
      <c r="F27" s="95">
        <f>+F25+F13</f>
        <v>13.31309068138406</v>
      </c>
    </row>
    <row r="28" spans="1:6" ht="29.25" customHeight="1" thickBot="1">
      <c r="A28" s="79"/>
      <c r="B28" s="483" t="s">
        <v>158</v>
      </c>
      <c r="C28" s="484"/>
      <c r="D28" s="314">
        <f>D25-D25/(1+(1-$D$9))</f>
        <v>26.286</v>
      </c>
      <c r="E28" s="96"/>
      <c r="F28" s="97"/>
    </row>
    <row r="29" spans="1:6" ht="16.5" customHeight="1">
      <c r="A29" s="79"/>
      <c r="B29" s="475" t="s">
        <v>64</v>
      </c>
      <c r="C29" s="476"/>
      <c r="D29" s="476"/>
      <c r="E29" s="476"/>
      <c r="F29" s="294">
        <f>D27-F27</f>
        <v>100.59290931861594</v>
      </c>
    </row>
    <row r="30" spans="1:6" ht="16.5" customHeight="1" thickBot="1">
      <c r="A30" s="79"/>
      <c r="B30" s="479" t="s">
        <v>115</v>
      </c>
      <c r="C30" s="480"/>
      <c r="D30" s="480"/>
      <c r="E30" s="480"/>
      <c r="F30" s="293">
        <f>_xlfn.IFERROR(IF((F29+F23+F22)&lt;0.005,"N/A",F7/D8*100/(F29+F23+F22))," ")</f>
        <v>0.4615569238154142</v>
      </c>
    </row>
    <row r="31" spans="1:6" s="45" customFormat="1" ht="44.25" customHeight="1">
      <c r="A31" s="100"/>
      <c r="B31" s="477" t="s">
        <v>134</v>
      </c>
      <c r="C31" s="477"/>
      <c r="D31" s="477"/>
      <c r="E31" s="477"/>
      <c r="F31" s="477"/>
    </row>
    <row r="32" spans="1:6" s="45" customFormat="1" ht="21" customHeight="1">
      <c r="A32" s="100"/>
      <c r="B32" s="478" t="s">
        <v>73</v>
      </c>
      <c r="C32" s="478"/>
      <c r="D32" s="478"/>
      <c r="E32" s="14"/>
      <c r="F32" s="101"/>
    </row>
    <row r="33" spans="1:6" s="45" customFormat="1" ht="22.5" customHeight="1" thickBot="1">
      <c r="A33" s="100"/>
      <c r="B33" s="487" t="str">
        <f>"Flux annuel moyen de trésorerie durant la période de l'emprunt. ("&amp;D8&amp;" m²)"</f>
        <v>Flux annuel moyen de trésorerie durant la période de l'emprunt. (500 m²)</v>
      </c>
      <c r="C33" s="487"/>
      <c r="D33" s="487"/>
      <c r="E33" s="487"/>
      <c r="F33" s="487"/>
    </row>
    <row r="34" spans="1:9" s="45" customFormat="1" ht="15.75" customHeight="1">
      <c r="A34" s="100"/>
      <c r="B34" s="488" t="str">
        <f>"Montant de l'emprunt  "&amp;H34*100&amp;" % de l'investissement"</f>
        <v>Montant de l'emprunt  75 % de l'investissement</v>
      </c>
      <c r="C34" s="489"/>
      <c r="D34" s="274">
        <f>H34*F7</f>
        <v>187.5</v>
      </c>
      <c r="E34" s="264" t="s">
        <v>54</v>
      </c>
      <c r="F34" s="273">
        <v>4</v>
      </c>
      <c r="H34" s="276">
        <v>0.75</v>
      </c>
      <c r="I34" s="269" t="s">
        <v>99</v>
      </c>
    </row>
    <row r="35" spans="1:9" s="45" customFormat="1" ht="15.75" customHeight="1" thickBot="1">
      <c r="A35" s="100"/>
      <c r="B35" s="490" t="str">
        <f>"Durée de l'emprunt  "&amp;H35*100&amp;" % de l'amortissement"</f>
        <v>Durée de l'emprunt  50 % de l'amortissement</v>
      </c>
      <c r="C35" s="491"/>
      <c r="D35" s="275">
        <f>F8*H35</f>
        <v>4</v>
      </c>
      <c r="E35" s="266" t="s">
        <v>55</v>
      </c>
      <c r="F35" s="272">
        <v>0.05</v>
      </c>
      <c r="H35" s="276">
        <v>0.5</v>
      </c>
      <c r="I35" s="269" t="s">
        <v>117</v>
      </c>
    </row>
    <row r="36" spans="1:6" s="85" customFormat="1" ht="15.75">
      <c r="A36" s="79"/>
      <c r="B36" s="109" t="s">
        <v>49</v>
      </c>
      <c r="C36" s="107"/>
      <c r="D36" s="108"/>
      <c r="E36" s="110" t="s">
        <v>50</v>
      </c>
      <c r="F36" s="108"/>
    </row>
    <row r="37" spans="1:6" ht="15.75">
      <c r="A37" s="79"/>
      <c r="B37" s="492" t="str">
        <f>"Économies de main d'œuvre sur "&amp;D8&amp;" m²"</f>
        <v>Économies de main d'œuvre sur 500 m²</v>
      </c>
      <c r="C37" s="493"/>
      <c r="D37" s="165">
        <f>D27*$D$8/100</f>
        <v>569.53</v>
      </c>
      <c r="E37" s="7" t="s">
        <v>69</v>
      </c>
      <c r="F37" s="112">
        <f>_xlfn.IFERROR(D34/D35," ")</f>
        <v>46.875</v>
      </c>
    </row>
    <row r="38" spans="2:9" ht="15.75">
      <c r="B38" s="176" t="s">
        <v>51</v>
      </c>
      <c r="C38" s="177"/>
      <c r="D38" s="174"/>
      <c r="E38" s="39" t="s">
        <v>44</v>
      </c>
      <c r="F38" s="112">
        <f>_xlfn.IFERROR((PMT(F35/F34,F34*D35,-D34)*F34*D35-D34)/D35," ")</f>
        <v>5.135041537609361</v>
      </c>
      <c r="I38" s="82"/>
    </row>
    <row r="39" spans="2:6" ht="15.75">
      <c r="B39" s="185" t="s">
        <v>18</v>
      </c>
      <c r="C39" s="186"/>
      <c r="D39" s="187"/>
      <c r="E39" s="188" t="s">
        <v>46</v>
      </c>
      <c r="F39" s="187"/>
    </row>
    <row r="40" spans="2:6" ht="17.25" customHeight="1" thickBot="1">
      <c r="B40" s="89" t="s">
        <v>45</v>
      </c>
      <c r="C40" s="90"/>
      <c r="D40" s="114">
        <f>SUM(D37:D39)</f>
        <v>569.53</v>
      </c>
      <c r="E40" s="89" t="s">
        <v>12</v>
      </c>
      <c r="F40" s="114">
        <f>SUM(F37:F39)</f>
        <v>52.01004153760936</v>
      </c>
    </row>
    <row r="41" spans="2:6" ht="17.25" customHeight="1" thickBot="1">
      <c r="B41" s="494" t="s">
        <v>56</v>
      </c>
      <c r="C41" s="495"/>
      <c r="D41" s="495"/>
      <c r="E41" s="495"/>
      <c r="F41" s="158">
        <f>D40-F40</f>
        <v>517.5199584623906</v>
      </c>
    </row>
    <row r="42" spans="2:6" ht="3.75" customHeight="1" thickBot="1">
      <c r="B42" s="55"/>
      <c r="C42" s="6"/>
      <c r="D42" s="6"/>
      <c r="E42" s="6"/>
      <c r="F42" s="98"/>
    </row>
    <row r="43" spans="2:6" ht="17.25" customHeight="1" thickBot="1">
      <c r="B43" s="494" t="s">
        <v>70</v>
      </c>
      <c r="C43" s="495"/>
      <c r="D43" s="495"/>
      <c r="E43" s="495"/>
      <c r="F43" s="158">
        <f>_xlfn.IFERROR(F41*100/D8," ")</f>
        <v>103.50399169247812</v>
      </c>
    </row>
  </sheetData>
  <sheetProtection sheet="1"/>
  <mergeCells count="16">
    <mergeCell ref="B33:F33"/>
    <mergeCell ref="B34:C34"/>
    <mergeCell ref="B35:C35"/>
    <mergeCell ref="B37:C37"/>
    <mergeCell ref="B41:E41"/>
    <mergeCell ref="B43:E43"/>
    <mergeCell ref="B2:F2"/>
    <mergeCell ref="B4:F4"/>
    <mergeCell ref="C6:F6"/>
    <mergeCell ref="B29:E29"/>
    <mergeCell ref="B31:F31"/>
    <mergeCell ref="B32:D32"/>
    <mergeCell ref="B30:E30"/>
    <mergeCell ref="D5:F5"/>
    <mergeCell ref="B28:C28"/>
    <mergeCell ref="B9:C9"/>
  </mergeCells>
  <conditionalFormatting sqref="F51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41 F43 F29:F30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0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0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2" r:id="rId1"/>
  <ignoredErrors>
    <ignoredError sqref="B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43"/>
  <sheetViews>
    <sheetView showZeros="0" zoomScale="90" zoomScaleNormal="90" zoomScalePageLayoutView="0" workbookViewId="0" topLeftCell="A2">
      <selection activeCell="E17" sqref="E17:E21"/>
    </sheetView>
  </sheetViews>
  <sheetFormatPr defaultColWidth="11.421875" defaultRowHeight="15"/>
  <cols>
    <col min="1" max="1" width="4.28125" style="0" customWidth="1"/>
    <col min="2" max="2" width="42.28125" style="0" customWidth="1"/>
    <col min="3" max="3" width="10.8515625" style="0" customWidth="1"/>
    <col min="4" max="4" width="14.7109375" style="0" customWidth="1"/>
    <col min="5" max="5" width="39.8515625" style="0" customWidth="1"/>
    <col min="6" max="6" width="14.8515625" style="0" customWidth="1"/>
    <col min="7" max="7" width="2.28125" style="0" customWidth="1"/>
    <col min="8" max="8" width="8.7109375" style="0" customWidth="1"/>
  </cols>
  <sheetData>
    <row r="1" ht="15.75" hidden="1" thickBot="1"/>
    <row r="2" spans="2:6" ht="26.25">
      <c r="B2" s="467" t="s">
        <v>72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96" t="str">
        <f>1!B4:F4</f>
        <v>Tomates beefsteak (culture)</v>
      </c>
      <c r="C4" s="497"/>
      <c r="D4" s="497"/>
      <c r="E4" s="497"/>
      <c r="F4" s="498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97</v>
      </c>
      <c r="D6" s="473"/>
      <c r="E6" s="473"/>
      <c r="F6" s="499"/>
    </row>
    <row r="7" spans="2:7" ht="15">
      <c r="B7" s="86" t="s">
        <v>150</v>
      </c>
      <c r="C7" s="160"/>
      <c r="D7" s="342">
        <f>1!D7</f>
        <v>13</v>
      </c>
      <c r="E7" s="350" t="s">
        <v>53</v>
      </c>
      <c r="F7" s="344">
        <v>6240</v>
      </c>
      <c r="G7" s="80"/>
    </row>
    <row r="8" spans="2:6" ht="15">
      <c r="B8" s="86" t="s">
        <v>39</v>
      </c>
      <c r="C8" s="159"/>
      <c r="D8" s="345">
        <f>1!D8</f>
        <v>500</v>
      </c>
      <c r="E8" s="351" t="s">
        <v>34</v>
      </c>
      <c r="F8" s="347">
        <v>20</v>
      </c>
    </row>
    <row r="9" spans="2:7" ht="15.75" thickBot="1">
      <c r="B9" s="485" t="s">
        <v>131</v>
      </c>
      <c r="C9" s="486"/>
      <c r="D9" s="348">
        <f>1!$D$9</f>
        <v>0.7</v>
      </c>
      <c r="E9" s="352" t="s">
        <v>42</v>
      </c>
      <c r="F9" s="348">
        <f>1!F9</f>
        <v>0.05</v>
      </c>
      <c r="G9" s="82"/>
    </row>
    <row r="10" spans="2:6" ht="16.5" customHeight="1">
      <c r="B10" s="51" t="s">
        <v>9</v>
      </c>
      <c r="C10" s="73"/>
      <c r="D10" s="17" t="s">
        <v>7</v>
      </c>
      <c r="E10" s="87" t="s">
        <v>22</v>
      </c>
      <c r="F10" s="88" t="s">
        <v>8</v>
      </c>
    </row>
    <row r="11" spans="2:6" ht="15.75">
      <c r="B11" s="176" t="s">
        <v>18</v>
      </c>
      <c r="C11" s="177"/>
      <c r="D11" s="178"/>
      <c r="E11" s="179" t="s">
        <v>18</v>
      </c>
      <c r="F11" s="178"/>
    </row>
    <row r="12" spans="2:6" ht="15.75">
      <c r="B12" s="176" t="s">
        <v>18</v>
      </c>
      <c r="C12" s="177"/>
      <c r="D12" s="180"/>
      <c r="E12" s="181"/>
      <c r="F12" s="180"/>
    </row>
    <row r="13" spans="2:6" ht="16.5" thickBot="1">
      <c r="B13" s="89" t="s">
        <v>1</v>
      </c>
      <c r="C13" s="90"/>
      <c r="D13" s="114">
        <f>SUM(D11:D12)</f>
        <v>0</v>
      </c>
      <c r="E13" s="91" t="s">
        <v>2</v>
      </c>
      <c r="F13" s="114">
        <f>SUM(F11:F12)</f>
        <v>0</v>
      </c>
    </row>
    <row r="14" spans="2:6" ht="3.75" customHeight="1" thickBot="1">
      <c r="B14" s="57"/>
      <c r="C14" s="9"/>
      <c r="D14" s="8"/>
      <c r="E14" s="9"/>
      <c r="F14" s="10"/>
    </row>
    <row r="15" spans="2:6" ht="15.75">
      <c r="B15" s="58" t="s">
        <v>3</v>
      </c>
      <c r="C15" s="76"/>
      <c r="D15" s="15"/>
      <c r="E15" s="36" t="s">
        <v>23</v>
      </c>
      <c r="F15" s="16"/>
    </row>
    <row r="16" spans="2:6" ht="15">
      <c r="B16" s="54"/>
      <c r="C16" s="327" t="s">
        <v>135</v>
      </c>
      <c r="D16" s="326" t="s">
        <v>133</v>
      </c>
      <c r="E16" s="20" t="s">
        <v>18</v>
      </c>
      <c r="F16" s="326" t="s">
        <v>38</v>
      </c>
    </row>
    <row r="17" spans="1:6" ht="15">
      <c r="A17" s="79"/>
      <c r="B17" s="84" t="s">
        <v>48</v>
      </c>
      <c r="C17" s="77"/>
      <c r="D17" s="27"/>
      <c r="E17" s="323" t="s">
        <v>92</v>
      </c>
      <c r="F17" s="309"/>
    </row>
    <row r="18" spans="1:6" ht="15" customHeight="1">
      <c r="A18" s="117"/>
      <c r="B18" s="311" t="s">
        <v>93</v>
      </c>
      <c r="C18" s="304">
        <v>0.95</v>
      </c>
      <c r="D18" s="307">
        <f>C18*$D$7*(1+(1-D$9))</f>
        <v>16.055</v>
      </c>
      <c r="E18" s="323"/>
      <c r="F18" s="309"/>
    </row>
    <row r="19" spans="1:6" ht="15">
      <c r="A19" s="117"/>
      <c r="B19" s="311"/>
      <c r="C19" s="304"/>
      <c r="D19" s="307">
        <f>C19*$D$7*(1+(1-D$9))</f>
        <v>0</v>
      </c>
      <c r="E19" s="323" t="s">
        <v>18</v>
      </c>
      <c r="F19" s="309"/>
    </row>
    <row r="20" spans="1:7" ht="25.5">
      <c r="A20" s="117"/>
      <c r="B20" s="312" t="s">
        <v>47</v>
      </c>
      <c r="C20" s="175"/>
      <c r="D20" s="308"/>
      <c r="E20" s="323"/>
      <c r="F20" s="309"/>
      <c r="G20" s="82"/>
    </row>
    <row r="21" spans="1:7" ht="15">
      <c r="A21" s="117"/>
      <c r="B21" s="311" t="s">
        <v>93</v>
      </c>
      <c r="C21" s="304">
        <v>10.46</v>
      </c>
      <c r="D21" s="307">
        <f>C21*$D$7*(1+(1-D$9))</f>
        <v>176.77400000000003</v>
      </c>
      <c r="E21" s="323"/>
      <c r="F21" s="309"/>
      <c r="G21" s="79"/>
    </row>
    <row r="22" spans="1:7" ht="15">
      <c r="A22" s="117"/>
      <c r="B22" s="311"/>
      <c r="C22" s="304"/>
      <c r="D22" s="307">
        <f>C22*$D$7*(1+(1-D$9))</f>
        <v>0</v>
      </c>
      <c r="E22" s="362" t="s">
        <v>28</v>
      </c>
      <c r="F22" s="307">
        <f>_xlfn.IFERROR(F7/F8*100/D8," ")</f>
        <v>62.4</v>
      </c>
      <c r="G22" s="79"/>
    </row>
    <row r="23" spans="1:7" ht="15">
      <c r="A23" s="117"/>
      <c r="B23" s="311"/>
      <c r="C23" s="304"/>
      <c r="D23" s="307">
        <f>C23*$D$7*(1+(1-D$9))</f>
        <v>0</v>
      </c>
      <c r="E23" s="362" t="s">
        <v>52</v>
      </c>
      <c r="F23" s="307">
        <f>_xlfn.IFERROR((((-(PMT($F$9/1,$F$8*1,$F$7)))*$F$8*1-$F$7))/$F$8*100/$D$8," ")</f>
        <v>37.742748813982764</v>
      </c>
      <c r="G23" s="111"/>
    </row>
    <row r="24" spans="1:7" ht="15">
      <c r="A24" s="79"/>
      <c r="B24" s="311"/>
      <c r="C24" s="305"/>
      <c r="D24" s="307">
        <f>C24*$D$7*(1+(1-D$9))</f>
        <v>0</v>
      </c>
      <c r="E24" s="313" t="s">
        <v>18</v>
      </c>
      <c r="F24" s="310"/>
      <c r="G24" s="79"/>
    </row>
    <row r="25" spans="1:6" ht="16.5" thickBot="1">
      <c r="A25" s="79"/>
      <c r="B25" s="89" t="s">
        <v>5</v>
      </c>
      <c r="C25" s="317">
        <f>SUM(C18:C24)</f>
        <v>11.41</v>
      </c>
      <c r="D25" s="115">
        <f>SUM(D17:D24)</f>
        <v>192.82900000000004</v>
      </c>
      <c r="E25" s="91" t="s">
        <v>6</v>
      </c>
      <c r="F25" s="116">
        <f>SUM(F17:F24)</f>
        <v>100.14274881398276</v>
      </c>
    </row>
    <row r="26" spans="1:6" ht="5.25" customHeight="1">
      <c r="A26" s="79"/>
      <c r="B26" s="102"/>
      <c r="C26" s="103"/>
      <c r="D26" s="104"/>
      <c r="E26" s="105"/>
      <c r="F26" s="106"/>
    </row>
    <row r="27" spans="1:6" s="85" customFormat="1" ht="16.5" customHeight="1" thickBot="1">
      <c r="A27" s="195"/>
      <c r="B27" s="315" t="s">
        <v>40</v>
      </c>
      <c r="C27" s="316"/>
      <c r="D27" s="95">
        <f>+D25+D13</f>
        <v>192.82900000000004</v>
      </c>
      <c r="E27" s="316" t="s">
        <v>41</v>
      </c>
      <c r="F27" s="95">
        <f>+F25+F13</f>
        <v>100.14274881398276</v>
      </c>
    </row>
    <row r="28" spans="1:6" ht="29.25" customHeight="1" thickBot="1">
      <c r="A28" s="79"/>
      <c r="B28" s="483" t="s">
        <v>158</v>
      </c>
      <c r="C28" s="484"/>
      <c r="D28" s="314">
        <f>D25-D25/(1+(1-$D$9))</f>
        <v>44.499000000000024</v>
      </c>
      <c r="E28" s="96"/>
      <c r="F28" s="97"/>
    </row>
    <row r="29" spans="1:6" ht="16.5" customHeight="1" thickBot="1">
      <c r="A29" s="79"/>
      <c r="B29" s="494" t="s">
        <v>64</v>
      </c>
      <c r="C29" s="495"/>
      <c r="D29" s="495"/>
      <c r="E29" s="495"/>
      <c r="F29" s="158">
        <f>D27-F27</f>
        <v>92.68625118601727</v>
      </c>
    </row>
    <row r="30" spans="1:6" ht="16.5" customHeight="1" thickBot="1">
      <c r="A30" s="79"/>
      <c r="B30" s="479" t="s">
        <v>115</v>
      </c>
      <c r="C30" s="480"/>
      <c r="D30" s="480"/>
      <c r="E30" s="480"/>
      <c r="F30" s="293">
        <f>_xlfn.IFERROR(IF((F29+F23+F22)&lt;0.005,"N/A",F7/D8*100/(F29+F23+F22))," ")</f>
        <v>6.4720555518101515</v>
      </c>
    </row>
    <row r="31" spans="1:6" s="45" customFormat="1" ht="44.25" customHeight="1">
      <c r="A31" s="100"/>
      <c r="B31" s="477" t="s">
        <v>134</v>
      </c>
      <c r="C31" s="477"/>
      <c r="D31" s="477"/>
      <c r="E31" s="477"/>
      <c r="F31" s="477"/>
    </row>
    <row r="32" spans="1:6" s="45" customFormat="1" ht="21" customHeight="1">
      <c r="A32" s="100"/>
      <c r="B32" s="478" t="s">
        <v>73</v>
      </c>
      <c r="C32" s="478"/>
      <c r="D32" s="478"/>
      <c r="E32" s="14"/>
      <c r="F32" s="101"/>
    </row>
    <row r="33" spans="1:6" s="45" customFormat="1" ht="22.5" customHeight="1" thickBot="1">
      <c r="A33" s="100"/>
      <c r="B33" s="487" t="str">
        <f>"Flux annuel moyen de trésorerie durant la période de l'emprunt. ("&amp;D8&amp;" m²)"</f>
        <v>Flux annuel moyen de trésorerie durant la période de l'emprunt. (500 m²)</v>
      </c>
      <c r="C33" s="487"/>
      <c r="D33" s="487"/>
      <c r="E33" s="487"/>
      <c r="F33" s="487"/>
    </row>
    <row r="34" spans="1:9" s="45" customFormat="1" ht="15.75" customHeight="1">
      <c r="A34" s="100"/>
      <c r="B34" s="488" t="str">
        <f>"Montant de l'emprunt  "&amp;H34*100&amp;" % de l'investissement"</f>
        <v>Montant de l'emprunt  75 % de l'investissement</v>
      </c>
      <c r="C34" s="489"/>
      <c r="D34" s="277">
        <f>H34*F7</f>
        <v>4680</v>
      </c>
      <c r="E34" s="264" t="s">
        <v>54</v>
      </c>
      <c r="F34" s="265">
        <v>4</v>
      </c>
      <c r="H34" s="276">
        <v>0.75</v>
      </c>
      <c r="I34" s="269" t="s">
        <v>99</v>
      </c>
    </row>
    <row r="35" spans="1:9" s="45" customFormat="1" ht="15.75" customHeight="1" thickBot="1">
      <c r="A35" s="100"/>
      <c r="B35" s="490" t="str">
        <f>"Durée de l'emprunt  "&amp;H35*100&amp;" % de l'amortissement"</f>
        <v>Durée de l'emprunt  50 % de l'amortissement</v>
      </c>
      <c r="C35" s="491"/>
      <c r="D35" s="278">
        <f>F8*H35</f>
        <v>10</v>
      </c>
      <c r="E35" s="266" t="s">
        <v>55</v>
      </c>
      <c r="F35" s="271">
        <f>1!F35</f>
        <v>0.05</v>
      </c>
      <c r="H35" s="276">
        <v>0.5</v>
      </c>
      <c r="I35" s="269" t="s">
        <v>117</v>
      </c>
    </row>
    <row r="36" spans="1:6" s="85" customFormat="1" ht="15.75">
      <c r="A36" s="79"/>
      <c r="B36" s="109" t="s">
        <v>49</v>
      </c>
      <c r="C36" s="107"/>
      <c r="D36" s="108"/>
      <c r="E36" s="110" t="s">
        <v>50</v>
      </c>
      <c r="F36" s="108"/>
    </row>
    <row r="37" spans="1:6" ht="15.75">
      <c r="A37" s="79"/>
      <c r="B37" s="492" t="str">
        <f>"Économies de main d'œuvre sur "&amp;D8&amp;" m²"</f>
        <v>Économies de main d'œuvre sur 500 m²</v>
      </c>
      <c r="C37" s="493"/>
      <c r="D37" s="165">
        <f>D27*$D$8/100</f>
        <v>964.1450000000001</v>
      </c>
      <c r="E37" s="7" t="s">
        <v>69</v>
      </c>
      <c r="F37" s="112">
        <f>_xlfn.IFERROR(D34/D35," ")</f>
        <v>468</v>
      </c>
    </row>
    <row r="38" spans="2:9" ht="15.75">
      <c r="B38" s="176" t="s">
        <v>51</v>
      </c>
      <c r="C38" s="177"/>
      <c r="D38" s="174"/>
      <c r="E38" s="39" t="s">
        <v>44</v>
      </c>
      <c r="F38" s="112">
        <f>_xlfn.IFERROR((PMT(F35/F34,F34*D35,-D34)*F34*D35-D34)/D35," ")</f>
        <v>129.56886836863296</v>
      </c>
      <c r="I38" s="82"/>
    </row>
    <row r="39" spans="2:6" ht="15.75">
      <c r="B39" s="185" t="s">
        <v>18</v>
      </c>
      <c r="C39" s="186"/>
      <c r="D39" s="187"/>
      <c r="E39" s="188" t="s">
        <v>46</v>
      </c>
      <c r="F39" s="187"/>
    </row>
    <row r="40" spans="2:6" ht="17.25" customHeight="1" thickBot="1">
      <c r="B40" s="89" t="s">
        <v>45</v>
      </c>
      <c r="C40" s="90"/>
      <c r="D40" s="114">
        <f>SUM(D37:D39)</f>
        <v>964.1450000000001</v>
      </c>
      <c r="E40" s="89" t="s">
        <v>12</v>
      </c>
      <c r="F40" s="114">
        <f>SUM(F37:F39)</f>
        <v>597.5688683686329</v>
      </c>
    </row>
    <row r="41" spans="2:6" ht="17.25" customHeight="1" thickBot="1">
      <c r="B41" s="494" t="s">
        <v>56</v>
      </c>
      <c r="C41" s="495"/>
      <c r="D41" s="495"/>
      <c r="E41" s="495"/>
      <c r="F41" s="158">
        <f>D40-F40</f>
        <v>366.57613163136716</v>
      </c>
    </row>
    <row r="42" spans="2:6" ht="3.75" customHeight="1" thickBot="1">
      <c r="B42" s="55"/>
      <c r="C42" s="6"/>
      <c r="D42" s="6"/>
      <c r="E42" s="6"/>
      <c r="F42" s="98"/>
    </row>
    <row r="43" spans="2:6" ht="17.25" customHeight="1" thickBot="1">
      <c r="B43" s="494" t="s">
        <v>70</v>
      </c>
      <c r="C43" s="495"/>
      <c r="D43" s="495"/>
      <c r="E43" s="495"/>
      <c r="F43" s="158">
        <f>_xlfn.IFERROR(F41*100/D8," ")</f>
        <v>73.31522632627343</v>
      </c>
    </row>
  </sheetData>
  <sheetProtection/>
  <mergeCells count="16">
    <mergeCell ref="B33:F33"/>
    <mergeCell ref="B34:C34"/>
    <mergeCell ref="B35:C35"/>
    <mergeCell ref="B37:C37"/>
    <mergeCell ref="B41:E41"/>
    <mergeCell ref="B43:E43"/>
    <mergeCell ref="B2:F2"/>
    <mergeCell ref="B4:F4"/>
    <mergeCell ref="C6:F6"/>
    <mergeCell ref="B29:E29"/>
    <mergeCell ref="B31:F31"/>
    <mergeCell ref="B32:D32"/>
    <mergeCell ref="B30:E30"/>
    <mergeCell ref="D5:F5"/>
    <mergeCell ref="B9:C9"/>
    <mergeCell ref="B28:C28"/>
  </mergeCells>
  <conditionalFormatting sqref="F51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51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41 F43 F29:F30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0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0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0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0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3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0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0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0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0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2" r:id="rId1"/>
  <ignoredErrors>
    <ignoredError sqref="D7:D8 F9 C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43"/>
  <sheetViews>
    <sheetView showZeros="0" zoomScale="90" zoomScaleNormal="90" zoomScalePageLayoutView="0" workbookViewId="0" topLeftCell="A2">
      <selection activeCell="E17" sqref="E17:E21"/>
    </sheetView>
  </sheetViews>
  <sheetFormatPr defaultColWidth="11.421875" defaultRowHeight="15"/>
  <cols>
    <col min="1" max="1" width="4.28125" style="0" customWidth="1"/>
    <col min="2" max="2" width="42.28125" style="0" customWidth="1"/>
    <col min="3" max="3" width="10.8515625" style="0" customWidth="1"/>
    <col min="4" max="4" width="12.7109375" style="0" customWidth="1"/>
    <col min="5" max="5" width="39.8515625" style="0" customWidth="1"/>
    <col min="6" max="6" width="14.8515625" style="0" customWidth="1"/>
    <col min="7" max="7" width="2.28125" style="0" customWidth="1"/>
  </cols>
  <sheetData>
    <row r="1" ht="15.75" hidden="1" thickBot="1"/>
    <row r="2" spans="2:6" ht="26.25">
      <c r="B2" s="467" t="s">
        <v>72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96" t="str">
        <f>1!B4:F4</f>
        <v>Tomates beefsteak (culture)</v>
      </c>
      <c r="C4" s="497"/>
      <c r="D4" s="497"/>
      <c r="E4" s="497"/>
      <c r="F4" s="498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36</v>
      </c>
      <c r="D6" s="473"/>
      <c r="E6" s="473"/>
      <c r="F6" s="474"/>
    </row>
    <row r="7" spans="2:7" ht="15">
      <c r="B7" s="86" t="s">
        <v>150</v>
      </c>
      <c r="C7" s="160"/>
      <c r="D7" s="342">
        <f>1!D7</f>
        <v>13</v>
      </c>
      <c r="E7" s="350" t="s">
        <v>53</v>
      </c>
      <c r="F7" s="344">
        <v>7000</v>
      </c>
      <c r="G7" s="80"/>
    </row>
    <row r="8" spans="2:6" ht="15">
      <c r="B8" s="86" t="s">
        <v>39</v>
      </c>
      <c r="C8" s="159"/>
      <c r="D8" s="345">
        <f>1!D8</f>
        <v>500</v>
      </c>
      <c r="E8" s="351" t="s">
        <v>34</v>
      </c>
      <c r="F8" s="347">
        <v>15</v>
      </c>
    </row>
    <row r="9" spans="2:7" ht="15.75" thickBot="1">
      <c r="B9" s="485" t="s">
        <v>131</v>
      </c>
      <c r="C9" s="486"/>
      <c r="D9" s="348">
        <f>1!$D$9</f>
        <v>0.7</v>
      </c>
      <c r="E9" s="352" t="s">
        <v>42</v>
      </c>
      <c r="F9" s="348">
        <v>0.05</v>
      </c>
      <c r="G9" s="82"/>
    </row>
    <row r="10" spans="2:6" ht="16.5" customHeight="1">
      <c r="B10" s="51" t="s">
        <v>9</v>
      </c>
      <c r="C10" s="73"/>
      <c r="D10" s="17" t="s">
        <v>7</v>
      </c>
      <c r="E10" s="87" t="s">
        <v>22</v>
      </c>
      <c r="F10" s="88" t="s">
        <v>8</v>
      </c>
    </row>
    <row r="11" spans="2:6" ht="15.75">
      <c r="B11" s="176" t="s">
        <v>18</v>
      </c>
      <c r="C11" s="177"/>
      <c r="D11" s="178"/>
      <c r="E11" s="179" t="s">
        <v>18</v>
      </c>
      <c r="F11" s="178"/>
    </row>
    <row r="12" spans="2:6" ht="15.75">
      <c r="B12" s="176" t="s">
        <v>18</v>
      </c>
      <c r="C12" s="177"/>
      <c r="D12" s="180"/>
      <c r="E12" s="181"/>
      <c r="F12" s="180"/>
    </row>
    <row r="13" spans="2:6" ht="16.5" thickBot="1">
      <c r="B13" s="89" t="s">
        <v>1</v>
      </c>
      <c r="C13" s="90"/>
      <c r="D13" s="114">
        <f>SUM(D11:D12)</f>
        <v>0</v>
      </c>
      <c r="E13" s="91" t="s">
        <v>2</v>
      </c>
      <c r="F13" s="114">
        <f>SUM(F11:F12)</f>
        <v>0</v>
      </c>
    </row>
    <row r="14" spans="2:6" ht="3.75" customHeight="1" thickBot="1">
      <c r="B14" s="57"/>
      <c r="C14" s="9"/>
      <c r="D14" s="8"/>
      <c r="E14" s="9"/>
      <c r="F14" s="10"/>
    </row>
    <row r="15" spans="2:6" ht="15.75">
      <c r="B15" s="58" t="s">
        <v>3</v>
      </c>
      <c r="C15" s="76"/>
      <c r="D15" s="15"/>
      <c r="E15" s="36" t="s">
        <v>23</v>
      </c>
      <c r="F15" s="16"/>
    </row>
    <row r="16" spans="2:6" ht="15">
      <c r="B16" s="54"/>
      <c r="C16" s="327" t="s">
        <v>135</v>
      </c>
      <c r="D16" s="326" t="s">
        <v>133</v>
      </c>
      <c r="E16" s="20" t="s">
        <v>18</v>
      </c>
      <c r="F16" s="326" t="s">
        <v>38</v>
      </c>
    </row>
    <row r="17" spans="1:6" ht="15">
      <c r="A17" s="79"/>
      <c r="B17" s="84" t="s">
        <v>48</v>
      </c>
      <c r="C17" s="77"/>
      <c r="D17" s="27"/>
      <c r="E17" s="323" t="s">
        <v>92</v>
      </c>
      <c r="F17" s="309"/>
    </row>
    <row r="18" spans="1:6" ht="15" customHeight="1">
      <c r="A18" s="117"/>
      <c r="B18" s="311" t="s">
        <v>93</v>
      </c>
      <c r="C18" s="304">
        <v>0.83</v>
      </c>
      <c r="D18" s="307">
        <f>C18*$D$7</f>
        <v>10.79</v>
      </c>
      <c r="E18" s="323"/>
      <c r="F18" s="309"/>
    </row>
    <row r="19" spans="1:6" ht="15">
      <c r="A19" s="117"/>
      <c r="B19" s="311"/>
      <c r="C19" s="304"/>
      <c r="D19" s="307">
        <f aca="true" t="shared" si="0" ref="D19:D24">C19*$D$8</f>
        <v>0</v>
      </c>
      <c r="E19" s="323" t="s">
        <v>18</v>
      </c>
      <c r="F19" s="309"/>
    </row>
    <row r="20" spans="1:7" ht="25.5">
      <c r="A20" s="117"/>
      <c r="B20" s="312" t="s">
        <v>47</v>
      </c>
      <c r="C20" s="175"/>
      <c r="D20" s="308">
        <f t="shared" si="0"/>
        <v>0</v>
      </c>
      <c r="E20" s="323"/>
      <c r="F20" s="309"/>
      <c r="G20" s="82"/>
    </row>
    <row r="21" spans="1:7" ht="15">
      <c r="A21" s="117"/>
      <c r="B21" s="311" t="s">
        <v>93</v>
      </c>
      <c r="C21" s="304">
        <v>7.79</v>
      </c>
      <c r="D21" s="307">
        <f>C21*$D$7</f>
        <v>101.27</v>
      </c>
      <c r="E21" s="323"/>
      <c r="F21" s="309"/>
      <c r="G21" s="79"/>
    </row>
    <row r="22" spans="1:7" ht="15">
      <c r="A22" s="117"/>
      <c r="B22" s="311"/>
      <c r="C22" s="304"/>
      <c r="D22" s="307">
        <f t="shared" si="0"/>
        <v>0</v>
      </c>
      <c r="E22" s="362" t="s">
        <v>28</v>
      </c>
      <c r="F22" s="307">
        <f>_xlfn.IFERROR(F7/F8*100/D8," ")</f>
        <v>93.33333333333334</v>
      </c>
      <c r="G22" s="79"/>
    </row>
    <row r="23" spans="1:7" ht="15">
      <c r="A23" s="117"/>
      <c r="B23" s="311"/>
      <c r="C23" s="304"/>
      <c r="D23" s="307">
        <f t="shared" si="0"/>
        <v>0</v>
      </c>
      <c r="E23" s="362" t="s">
        <v>52</v>
      </c>
      <c r="F23" s="307">
        <f>_xlfn.IFERROR((((-(PMT($F$9/1,$F$8*1,$F$7)))*$F$8*1-$F$7))/$F$8*100/$D$8," ")</f>
        <v>41.545869319608805</v>
      </c>
      <c r="G23" s="111"/>
    </row>
    <row r="24" spans="1:7" ht="15">
      <c r="A24" s="79"/>
      <c r="B24" s="311"/>
      <c r="C24" s="305"/>
      <c r="D24" s="307">
        <f t="shared" si="0"/>
        <v>0</v>
      </c>
      <c r="E24" s="313" t="s">
        <v>18</v>
      </c>
      <c r="F24" s="310"/>
      <c r="G24" s="79"/>
    </row>
    <row r="25" spans="1:6" ht="16.5" thickBot="1">
      <c r="A25" s="79"/>
      <c r="B25" s="89" t="s">
        <v>5</v>
      </c>
      <c r="C25" s="317">
        <f>SUM(C18:C24)</f>
        <v>8.62</v>
      </c>
      <c r="D25" s="115">
        <f>SUM(D17:D24)</f>
        <v>112.06</v>
      </c>
      <c r="E25" s="91" t="s">
        <v>6</v>
      </c>
      <c r="F25" s="116">
        <f>SUM(F17:F24)</f>
        <v>134.87920265294215</v>
      </c>
    </row>
    <row r="26" spans="1:6" ht="5.25" customHeight="1">
      <c r="A26" s="79"/>
      <c r="B26" s="102"/>
      <c r="C26" s="103"/>
      <c r="D26" s="104"/>
      <c r="E26" s="105"/>
      <c r="F26" s="106"/>
    </row>
    <row r="27" spans="1:6" ht="16.5" customHeight="1" thickBot="1">
      <c r="A27" s="79"/>
      <c r="B27" s="93" t="s">
        <v>40</v>
      </c>
      <c r="C27" s="316"/>
      <c r="D27" s="95">
        <f>+D25+D13</f>
        <v>112.06</v>
      </c>
      <c r="E27" s="94" t="s">
        <v>41</v>
      </c>
      <c r="F27" s="95">
        <f>+F25+F13</f>
        <v>134.87920265294215</v>
      </c>
    </row>
    <row r="28" spans="1:6" ht="29.25" customHeight="1" thickBot="1">
      <c r="A28" s="79"/>
      <c r="B28" s="483" t="s">
        <v>158</v>
      </c>
      <c r="C28" s="484"/>
      <c r="D28" s="314">
        <f>D25-D25/(1+(1-$D$9))</f>
        <v>25.86</v>
      </c>
      <c r="E28" s="96"/>
      <c r="F28" s="97"/>
    </row>
    <row r="29" spans="1:6" ht="16.5" customHeight="1" thickBot="1">
      <c r="A29" s="79"/>
      <c r="B29" s="494" t="s">
        <v>64</v>
      </c>
      <c r="C29" s="495"/>
      <c r="D29" s="495"/>
      <c r="E29" s="495"/>
      <c r="F29" s="158">
        <f>D27-F27</f>
        <v>-22.819202652942153</v>
      </c>
    </row>
    <row r="30" spans="1:6" ht="16.5" customHeight="1" thickBot="1">
      <c r="A30" s="79"/>
      <c r="B30" s="479" t="s">
        <v>115</v>
      </c>
      <c r="C30" s="480"/>
      <c r="D30" s="480"/>
      <c r="E30" s="480"/>
      <c r="F30" s="293">
        <f>_xlfn.IFERROR(IF((F29+F23+F22)&lt;0.005,"N/A",F7/D8*100/(F29+F23+F22))," ")</f>
        <v>12.493307156880242</v>
      </c>
    </row>
    <row r="31" spans="1:6" s="45" customFormat="1" ht="44.25" customHeight="1">
      <c r="A31" s="100"/>
      <c r="B31" s="477" t="s">
        <v>134</v>
      </c>
      <c r="C31" s="477"/>
      <c r="D31" s="477"/>
      <c r="E31" s="477"/>
      <c r="F31" s="477"/>
    </row>
    <row r="32" spans="1:6" s="45" customFormat="1" ht="21" customHeight="1">
      <c r="A32" s="100"/>
      <c r="B32" s="478" t="s">
        <v>73</v>
      </c>
      <c r="C32" s="478"/>
      <c r="D32" s="478"/>
      <c r="E32" s="14"/>
      <c r="F32" s="101"/>
    </row>
    <row r="33" spans="1:6" s="45" customFormat="1" ht="22.5" customHeight="1" thickBot="1">
      <c r="A33" s="100"/>
      <c r="B33" s="487" t="str">
        <f>"Flux annuel moyen de trésorerie durant la période de l'emprunt. ("&amp;D8&amp;" m²)"</f>
        <v>Flux annuel moyen de trésorerie durant la période de l'emprunt. (500 m²)</v>
      </c>
      <c r="C33" s="487"/>
      <c r="D33" s="487"/>
      <c r="E33" s="487"/>
      <c r="F33" s="487"/>
    </row>
    <row r="34" spans="1:9" s="45" customFormat="1" ht="15.75" customHeight="1">
      <c r="A34" s="100"/>
      <c r="B34" s="488" t="str">
        <f>"Montant de l'emprunt  "&amp;H34*100&amp;" % de l'investissement"</f>
        <v>Montant de l'emprunt  75 % de l'investissement</v>
      </c>
      <c r="C34" s="489"/>
      <c r="D34" s="277">
        <f>H34*F7</f>
        <v>5250</v>
      </c>
      <c r="E34" s="264" t="s">
        <v>54</v>
      </c>
      <c r="F34" s="265">
        <v>4</v>
      </c>
      <c r="H34" s="276">
        <v>0.75</v>
      </c>
      <c r="I34" s="269" t="s">
        <v>99</v>
      </c>
    </row>
    <row r="35" spans="1:9" s="45" customFormat="1" ht="15.75" customHeight="1" thickBot="1">
      <c r="A35" s="100"/>
      <c r="B35" s="490" t="str">
        <f>"Durée de l'emprunt  "&amp;H35*100&amp;" % de l'amortissement"</f>
        <v>Durée de l'emprunt  50 % de l'amortissement</v>
      </c>
      <c r="C35" s="491"/>
      <c r="D35" s="278">
        <f>F8*H35</f>
        <v>7.5</v>
      </c>
      <c r="E35" s="266" t="s">
        <v>55</v>
      </c>
      <c r="F35" s="271">
        <f>1!F35</f>
        <v>0.05</v>
      </c>
      <c r="H35" s="276">
        <v>0.5</v>
      </c>
      <c r="I35" s="269" t="s">
        <v>117</v>
      </c>
    </row>
    <row r="36" spans="1:6" s="85" customFormat="1" ht="15.75">
      <c r="A36" s="79"/>
      <c r="B36" s="109" t="s">
        <v>49</v>
      </c>
      <c r="C36" s="107"/>
      <c r="D36" s="108"/>
      <c r="E36" s="110" t="s">
        <v>50</v>
      </c>
      <c r="F36" s="108"/>
    </row>
    <row r="37" spans="1:6" ht="15.75">
      <c r="A37" s="79"/>
      <c r="B37" s="492" t="str">
        <f>"Économies de main d'œuvre sur "&amp;D8&amp;" m²"</f>
        <v>Économies de main d'œuvre sur 500 m²</v>
      </c>
      <c r="C37" s="493"/>
      <c r="D37" s="165">
        <f>D27*$D$8/100</f>
        <v>560.3</v>
      </c>
      <c r="E37" s="7" t="s">
        <v>69</v>
      </c>
      <c r="F37" s="112">
        <f>_xlfn.IFERROR(D34/D35," ")</f>
        <v>700</v>
      </c>
    </row>
    <row r="38" spans="2:9" ht="15.75">
      <c r="B38" s="176" t="s">
        <v>51</v>
      </c>
      <c r="C38" s="177"/>
      <c r="D38" s="174"/>
      <c r="E38" s="39" t="s">
        <v>44</v>
      </c>
      <c r="F38" s="112">
        <f>_xlfn.IFERROR((PMT(F35/F34,F34*D35,-D34)*F34*D35-D34)/D35," ")</f>
        <v>143.74941209853836</v>
      </c>
      <c r="I38" s="82"/>
    </row>
    <row r="39" spans="2:6" ht="15.75">
      <c r="B39" s="185" t="s">
        <v>18</v>
      </c>
      <c r="C39" s="186"/>
      <c r="D39" s="187"/>
      <c r="E39" s="188" t="s">
        <v>46</v>
      </c>
      <c r="F39" s="187"/>
    </row>
    <row r="40" spans="2:6" ht="17.25" customHeight="1" thickBot="1">
      <c r="B40" s="89" t="s">
        <v>45</v>
      </c>
      <c r="C40" s="90"/>
      <c r="D40" s="114">
        <f>SUM(D37:D39)</f>
        <v>560.3</v>
      </c>
      <c r="E40" s="89" t="s">
        <v>12</v>
      </c>
      <c r="F40" s="114">
        <f>SUM(F37:F39)</f>
        <v>843.7494120985384</v>
      </c>
    </row>
    <row r="41" spans="2:6" ht="17.25" customHeight="1" thickBot="1">
      <c r="B41" s="494" t="s">
        <v>56</v>
      </c>
      <c r="C41" s="495"/>
      <c r="D41" s="495"/>
      <c r="E41" s="495"/>
      <c r="F41" s="158">
        <f>D40-F40</f>
        <v>-283.44941209853846</v>
      </c>
    </row>
    <row r="42" spans="2:6" ht="3.75" customHeight="1" thickBot="1">
      <c r="B42" s="55"/>
      <c r="C42" s="6"/>
      <c r="D42" s="6"/>
      <c r="E42" s="6"/>
      <c r="F42" s="98"/>
    </row>
    <row r="43" spans="2:6" ht="17.25" customHeight="1" thickBot="1">
      <c r="B43" s="494" t="s">
        <v>70</v>
      </c>
      <c r="C43" s="495"/>
      <c r="D43" s="495"/>
      <c r="E43" s="495"/>
      <c r="F43" s="158">
        <f>_xlfn.IFERROR(F41*100/D8," ")</f>
        <v>-56.68988241970769</v>
      </c>
    </row>
  </sheetData>
  <sheetProtection/>
  <mergeCells count="16">
    <mergeCell ref="B33:F33"/>
    <mergeCell ref="B34:C34"/>
    <mergeCell ref="B35:C35"/>
    <mergeCell ref="B37:C37"/>
    <mergeCell ref="B41:E41"/>
    <mergeCell ref="B43:E43"/>
    <mergeCell ref="B2:F2"/>
    <mergeCell ref="B4:F4"/>
    <mergeCell ref="C6:F6"/>
    <mergeCell ref="B29:E29"/>
    <mergeCell ref="B31:F31"/>
    <mergeCell ref="B32:D32"/>
    <mergeCell ref="B30:E30"/>
    <mergeCell ref="D5:F5"/>
    <mergeCell ref="B9:C9"/>
    <mergeCell ref="B28:C28"/>
  </mergeCells>
  <conditionalFormatting sqref="F51">
    <cfRule type="cellIs" priority="49" dxfId="1896" operator="lessThan" stopIfTrue="1">
      <formula>0</formula>
    </cfRule>
    <cfRule type="cellIs" priority="50" dxfId="1897" operator="greaterThan" stopIfTrue="1">
      <formula>0</formula>
    </cfRule>
  </conditionalFormatting>
  <conditionalFormatting sqref="F51">
    <cfRule type="cellIs" priority="47" dxfId="1896" operator="lessThan" stopIfTrue="1">
      <formula>0</formula>
    </cfRule>
    <cfRule type="cellIs" priority="48" dxfId="1897" operator="greaterThan" stopIfTrue="1">
      <formula>0</formula>
    </cfRule>
  </conditionalFormatting>
  <conditionalFormatting sqref="F51">
    <cfRule type="cellIs" priority="45" dxfId="1896" operator="lessThan" stopIfTrue="1">
      <formula>0</formula>
    </cfRule>
    <cfRule type="cellIs" priority="46" dxfId="1897" operator="greaterThan" stopIfTrue="1">
      <formula>0</formula>
    </cfRule>
  </conditionalFormatting>
  <conditionalFormatting sqref="F41 F43 F29:F30">
    <cfRule type="cellIs" priority="43" dxfId="1896" operator="lessThan" stopIfTrue="1">
      <formula>0</formula>
    </cfRule>
    <cfRule type="cellIs" priority="44" dxfId="1897" operator="greaterThan" stopIfTrue="1">
      <formula>0</formula>
    </cfRule>
  </conditionalFormatting>
  <conditionalFormatting sqref="F30">
    <cfRule type="cellIs" priority="41" dxfId="1896" operator="lessThan" stopIfTrue="1">
      <formula>0</formula>
    </cfRule>
    <cfRule type="cellIs" priority="42" dxfId="1897" operator="greaterThan" stopIfTrue="1">
      <formula>0</formula>
    </cfRule>
  </conditionalFormatting>
  <conditionalFormatting sqref="F30">
    <cfRule type="cellIs" priority="39" dxfId="1896" operator="lessThan" stopIfTrue="1">
      <formula>0</formula>
    </cfRule>
    <cfRule type="cellIs" priority="40" dxfId="1897" operator="greaterThan" stopIfTrue="1">
      <formula>0</formula>
    </cfRule>
  </conditionalFormatting>
  <conditionalFormatting sqref="F30">
    <cfRule type="cellIs" priority="37" dxfId="1896" operator="lessThan" stopIfTrue="1">
      <formula>0</formula>
    </cfRule>
    <cfRule type="cellIs" priority="38" dxfId="1897" operator="greaterThan" stopIfTrue="1">
      <formula>0</formula>
    </cfRule>
  </conditionalFormatting>
  <conditionalFormatting sqref="F30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30">
    <cfRule type="cellIs" priority="33" dxfId="1896" operator="lessThan" stopIfTrue="1">
      <formula>0</formula>
    </cfRule>
    <cfRule type="cellIs" priority="34" dxfId="1897" operator="greaterThan" stopIfTrue="1">
      <formula>0</formula>
    </cfRule>
  </conditionalFormatting>
  <conditionalFormatting sqref="F30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0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0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0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51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51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41 F43 F29:F30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0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0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0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0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3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0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0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0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0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2" r:id="rId1"/>
  <ignoredErrors>
    <ignoredError sqref="D21 D25" formula="1"/>
    <ignoredError sqref="D22:D24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43"/>
  <sheetViews>
    <sheetView showZeros="0" zoomScale="90" zoomScaleNormal="90" zoomScalePageLayoutView="0" workbookViewId="0" topLeftCell="A2">
      <selection activeCell="E17" sqref="E17:E21"/>
    </sheetView>
  </sheetViews>
  <sheetFormatPr defaultColWidth="11.421875" defaultRowHeight="15"/>
  <cols>
    <col min="1" max="1" width="4.28125" style="0" customWidth="1"/>
    <col min="2" max="2" width="42.28125" style="0" customWidth="1"/>
    <col min="3" max="3" width="10.8515625" style="0" customWidth="1"/>
    <col min="4" max="4" width="12.7109375" style="0" customWidth="1"/>
    <col min="5" max="5" width="39.8515625" style="0" customWidth="1"/>
    <col min="6" max="6" width="14.8515625" style="0" customWidth="1"/>
    <col min="7" max="7" width="2.28125" style="0" customWidth="1"/>
    <col min="9" max="9" width="17.7109375" style="0" customWidth="1"/>
  </cols>
  <sheetData>
    <row r="1" ht="15.75" hidden="1" thickBot="1"/>
    <row r="2" spans="2:6" ht="26.25">
      <c r="B2" s="467" t="s">
        <v>72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96" t="str">
        <f>1!B4:F4</f>
        <v>Tomates beefsteak (culture)</v>
      </c>
      <c r="C4" s="497"/>
      <c r="D4" s="497"/>
      <c r="E4" s="497"/>
      <c r="F4" s="498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37</v>
      </c>
      <c r="D6" s="473"/>
      <c r="E6" s="473"/>
      <c r="F6" s="474"/>
    </row>
    <row r="7" spans="2:7" ht="15">
      <c r="B7" s="86" t="s">
        <v>150</v>
      </c>
      <c r="C7" s="160"/>
      <c r="D7" s="342">
        <f>1!D7</f>
        <v>13</v>
      </c>
      <c r="E7" s="350" t="s">
        <v>53</v>
      </c>
      <c r="F7" s="344">
        <v>20</v>
      </c>
      <c r="G7" s="80"/>
    </row>
    <row r="8" spans="2:6" ht="15">
      <c r="B8" s="86" t="s">
        <v>39</v>
      </c>
      <c r="C8" s="159"/>
      <c r="D8" s="345">
        <f>1!D8</f>
        <v>500</v>
      </c>
      <c r="E8" s="351" t="s">
        <v>34</v>
      </c>
      <c r="F8" s="347">
        <v>1</v>
      </c>
    </row>
    <row r="9" spans="2:7" ht="15.75" thickBot="1">
      <c r="B9" s="485" t="s">
        <v>131</v>
      </c>
      <c r="C9" s="486"/>
      <c r="D9" s="348">
        <f>1!$D$9</f>
        <v>0.7</v>
      </c>
      <c r="E9" s="352" t="s">
        <v>42</v>
      </c>
      <c r="F9" s="348">
        <f>1!F9</f>
        <v>0.05</v>
      </c>
      <c r="G9" s="82"/>
    </row>
    <row r="10" spans="2:6" ht="16.5" customHeight="1">
      <c r="B10" s="51" t="s">
        <v>9</v>
      </c>
      <c r="C10" s="73"/>
      <c r="D10" s="17" t="s">
        <v>7</v>
      </c>
      <c r="E10" s="87" t="s">
        <v>22</v>
      </c>
      <c r="F10" s="88" t="s">
        <v>8</v>
      </c>
    </row>
    <row r="11" spans="2:6" ht="15.75">
      <c r="B11" s="176" t="s">
        <v>18</v>
      </c>
      <c r="C11" s="177"/>
      <c r="D11" s="178"/>
      <c r="E11" s="179" t="s">
        <v>18</v>
      </c>
      <c r="F11" s="178"/>
    </row>
    <row r="12" spans="2:6" ht="15.75">
      <c r="B12" s="176" t="s">
        <v>18</v>
      </c>
      <c r="C12" s="177"/>
      <c r="D12" s="180"/>
      <c r="E12" s="181"/>
      <c r="F12" s="180"/>
    </row>
    <row r="13" spans="2:6" ht="16.5" thickBot="1">
      <c r="B13" s="89" t="s">
        <v>1</v>
      </c>
      <c r="C13" s="90"/>
      <c r="D13" s="114">
        <f>SUM(D11:D12)</f>
        <v>0</v>
      </c>
      <c r="E13" s="91" t="s">
        <v>2</v>
      </c>
      <c r="F13" s="114">
        <f>SUM(F11:F12)</f>
        <v>0</v>
      </c>
    </row>
    <row r="14" spans="2:6" ht="3.75" customHeight="1" thickBot="1">
      <c r="B14" s="57"/>
      <c r="C14" s="9"/>
      <c r="D14" s="8"/>
      <c r="E14" s="9"/>
      <c r="F14" s="10"/>
    </row>
    <row r="15" spans="2:6" ht="15.75">
      <c r="B15" s="58" t="s">
        <v>3</v>
      </c>
      <c r="C15" s="76"/>
      <c r="D15" s="15"/>
      <c r="E15" s="36" t="s">
        <v>23</v>
      </c>
      <c r="F15" s="16"/>
    </row>
    <row r="16" spans="2:6" ht="15">
      <c r="B16" s="54"/>
      <c r="C16" s="327" t="s">
        <v>135</v>
      </c>
      <c r="D16" s="326" t="s">
        <v>133</v>
      </c>
      <c r="E16" s="20" t="s">
        <v>18</v>
      </c>
      <c r="F16" s="326" t="s">
        <v>38</v>
      </c>
    </row>
    <row r="17" spans="1:6" ht="15">
      <c r="A17" s="79"/>
      <c r="B17" s="84" t="s">
        <v>48</v>
      </c>
      <c r="C17" s="77"/>
      <c r="D17" s="27"/>
      <c r="E17" s="323" t="s">
        <v>92</v>
      </c>
      <c r="F17" s="309"/>
    </row>
    <row r="18" spans="1:6" ht="15" customHeight="1">
      <c r="A18" s="117"/>
      <c r="B18" s="311" t="s">
        <v>93</v>
      </c>
      <c r="C18" s="304">
        <v>0.22</v>
      </c>
      <c r="D18" s="307">
        <f>C18*$D$7</f>
        <v>2.86</v>
      </c>
      <c r="E18" s="323"/>
      <c r="F18" s="309"/>
    </row>
    <row r="19" spans="1:6" ht="15">
      <c r="A19" s="117"/>
      <c r="B19" s="311"/>
      <c r="C19" s="304"/>
      <c r="D19" s="307">
        <f aca="true" t="shared" si="0" ref="D19:D24">C19*$D$8</f>
        <v>0</v>
      </c>
      <c r="E19" s="323" t="s">
        <v>18</v>
      </c>
      <c r="F19" s="309"/>
    </row>
    <row r="20" spans="1:7" ht="25.5">
      <c r="A20" s="117"/>
      <c r="B20" s="312" t="s">
        <v>47</v>
      </c>
      <c r="C20" s="175"/>
      <c r="D20" s="308">
        <f t="shared" si="0"/>
        <v>0</v>
      </c>
      <c r="E20" s="323"/>
      <c r="F20" s="309"/>
      <c r="G20" s="82"/>
    </row>
    <row r="21" spans="1:7" ht="15">
      <c r="A21" s="117"/>
      <c r="B21" s="311" t="s">
        <v>93</v>
      </c>
      <c r="C21" s="304">
        <v>0.96</v>
      </c>
      <c r="D21" s="307">
        <f>C21*$D$7</f>
        <v>12.48</v>
      </c>
      <c r="E21" s="323"/>
      <c r="F21" s="309"/>
      <c r="G21" s="79"/>
    </row>
    <row r="22" spans="1:7" ht="15">
      <c r="A22" s="117"/>
      <c r="B22" s="311"/>
      <c r="C22" s="304"/>
      <c r="D22" s="307">
        <f t="shared" si="0"/>
        <v>0</v>
      </c>
      <c r="E22" s="362" t="s">
        <v>28</v>
      </c>
      <c r="F22" s="307">
        <f>_xlfn.IFERROR(F7/F8*100/D8," ")</f>
        <v>4</v>
      </c>
      <c r="G22" s="79"/>
    </row>
    <row r="23" spans="1:7" ht="15">
      <c r="A23" s="117"/>
      <c r="B23" s="311"/>
      <c r="C23" s="304"/>
      <c r="D23" s="307">
        <f t="shared" si="0"/>
        <v>0</v>
      </c>
      <c r="E23" s="362" t="s">
        <v>52</v>
      </c>
      <c r="F23" s="307">
        <f>_xlfn.IFERROR((((-(PMT($F$9/1,$F$8*1,$F$7)))*$F$8*1-$F$7))/$F$8*100/$D$8," ")</f>
        <v>0.1999999999999993</v>
      </c>
      <c r="G23" s="111"/>
    </row>
    <row r="24" spans="1:7" ht="15">
      <c r="A24" s="79"/>
      <c r="B24" s="311"/>
      <c r="C24" s="305"/>
      <c r="D24" s="307">
        <f t="shared" si="0"/>
        <v>0</v>
      </c>
      <c r="E24" s="313" t="s">
        <v>18</v>
      </c>
      <c r="F24" s="310"/>
      <c r="G24" s="79"/>
    </row>
    <row r="25" spans="1:6" ht="16.5" thickBot="1">
      <c r="A25" s="79"/>
      <c r="B25" s="89" t="s">
        <v>5</v>
      </c>
      <c r="C25" s="317">
        <f>SUM(C18:C24)</f>
        <v>1.18</v>
      </c>
      <c r="D25" s="115">
        <f>SUM(D17:D24)</f>
        <v>15.34</v>
      </c>
      <c r="E25" s="91" t="s">
        <v>6</v>
      </c>
      <c r="F25" s="116">
        <f>SUM(F17:F24)</f>
        <v>4.199999999999999</v>
      </c>
    </row>
    <row r="26" spans="1:6" ht="5.25" customHeight="1">
      <c r="A26" s="79"/>
      <c r="B26" s="102"/>
      <c r="C26" s="103"/>
      <c r="D26" s="104"/>
      <c r="E26" s="105"/>
      <c r="F26" s="106"/>
    </row>
    <row r="27" spans="1:6" ht="16.5" customHeight="1" thickBot="1">
      <c r="A27" s="79"/>
      <c r="B27" s="93" t="s">
        <v>40</v>
      </c>
      <c r="C27" s="316"/>
      <c r="D27" s="95">
        <f>+D25+D13</f>
        <v>15.34</v>
      </c>
      <c r="E27" s="94" t="s">
        <v>41</v>
      </c>
      <c r="F27" s="95">
        <f>+F25+F13</f>
        <v>4.199999999999999</v>
      </c>
    </row>
    <row r="28" spans="1:6" ht="29.25" customHeight="1" thickBot="1">
      <c r="A28" s="79"/>
      <c r="B28" s="483" t="s">
        <v>158</v>
      </c>
      <c r="C28" s="484"/>
      <c r="D28" s="314">
        <f>D25-D25/(1+(1-$D$9))</f>
        <v>3.540000000000001</v>
      </c>
      <c r="E28" s="96"/>
      <c r="F28" s="97"/>
    </row>
    <row r="29" spans="1:6" ht="16.5" customHeight="1" thickBot="1">
      <c r="A29" s="79"/>
      <c r="B29" s="494" t="s">
        <v>64</v>
      </c>
      <c r="C29" s="495"/>
      <c r="D29" s="495"/>
      <c r="E29" s="495"/>
      <c r="F29" s="158">
        <f>D27-F27</f>
        <v>11.14</v>
      </c>
    </row>
    <row r="30" spans="1:6" ht="16.5" customHeight="1" thickBot="1">
      <c r="A30" s="79"/>
      <c r="B30" s="479" t="s">
        <v>115</v>
      </c>
      <c r="C30" s="480"/>
      <c r="D30" s="480"/>
      <c r="E30" s="480"/>
      <c r="F30" s="293">
        <f>_xlfn.IFERROR(IF((F29+F23+F22)&lt;0.005,"N/A",F7/D8*100/(F29+F23+F22))," ")</f>
        <v>0.2607561929595828</v>
      </c>
    </row>
    <row r="31" spans="1:6" s="45" customFormat="1" ht="44.25" customHeight="1">
      <c r="A31" s="100"/>
      <c r="B31" s="477" t="s">
        <v>134</v>
      </c>
      <c r="C31" s="477"/>
      <c r="D31" s="477"/>
      <c r="E31" s="477"/>
      <c r="F31" s="477"/>
    </row>
    <row r="32" spans="1:6" s="45" customFormat="1" ht="21" customHeight="1">
      <c r="A32" s="100"/>
      <c r="B32" s="478" t="s">
        <v>73</v>
      </c>
      <c r="C32" s="478"/>
      <c r="D32" s="478"/>
      <c r="E32" s="14"/>
      <c r="F32" s="101"/>
    </row>
    <row r="33" spans="1:6" s="45" customFormat="1" ht="22.5" customHeight="1" thickBot="1">
      <c r="A33" s="100"/>
      <c r="B33" s="487" t="str">
        <f>"Flux annuel moyen de trésorerie durant la période de l'emprunt. ("&amp;D8&amp;" m²)"</f>
        <v>Flux annuel moyen de trésorerie durant la période de l'emprunt. (500 m²)</v>
      </c>
      <c r="C33" s="487"/>
      <c r="D33" s="487"/>
      <c r="E33" s="487"/>
      <c r="F33" s="487"/>
    </row>
    <row r="34" spans="1:9" s="45" customFormat="1" ht="15.75" customHeight="1">
      <c r="A34" s="100"/>
      <c r="B34" s="488" t="str">
        <f>"Montant de l'emprunt  "&amp;H34*100&amp;" % de l'investissement"</f>
        <v>Montant de l'emprunt  75 % de l'investissement</v>
      </c>
      <c r="C34" s="489"/>
      <c r="D34" s="277">
        <f>H34*F7</f>
        <v>15</v>
      </c>
      <c r="E34" s="264" t="s">
        <v>54</v>
      </c>
      <c r="F34" s="265">
        <v>4</v>
      </c>
      <c r="H34" s="276">
        <v>0.75</v>
      </c>
      <c r="I34" s="269" t="s">
        <v>99</v>
      </c>
    </row>
    <row r="35" spans="1:9" s="45" customFormat="1" ht="15.75" customHeight="1" thickBot="1">
      <c r="A35" s="100"/>
      <c r="B35" s="490" t="str">
        <f>"Durée de l'emprunt  "&amp;H35*100&amp;" % de l'amortissement"</f>
        <v>Durée de l'emprunt  50 % de l'amortissement</v>
      </c>
      <c r="C35" s="491"/>
      <c r="D35" s="278">
        <f>F8*H35</f>
        <v>0.5</v>
      </c>
      <c r="E35" s="266" t="s">
        <v>55</v>
      </c>
      <c r="F35" s="271">
        <f>1!F35</f>
        <v>0.05</v>
      </c>
      <c r="H35" s="276">
        <v>0.5</v>
      </c>
      <c r="I35" s="269" t="s">
        <v>117</v>
      </c>
    </row>
    <row r="36" spans="1:6" s="85" customFormat="1" ht="15.75">
      <c r="A36" s="79"/>
      <c r="B36" s="109" t="s">
        <v>49</v>
      </c>
      <c r="C36" s="107"/>
      <c r="D36" s="108"/>
      <c r="E36" s="110" t="s">
        <v>50</v>
      </c>
      <c r="F36" s="108"/>
    </row>
    <row r="37" spans="1:6" ht="15.75">
      <c r="A37" s="79"/>
      <c r="B37" s="492" t="str">
        <f>"Économies de main d'œuvre sur "&amp;D8&amp;" m²"</f>
        <v>Économies de main d'œuvre sur 500 m²</v>
      </c>
      <c r="C37" s="493"/>
      <c r="D37" s="165">
        <f>D27*$D$8/100</f>
        <v>76.7</v>
      </c>
      <c r="E37" s="7" t="s">
        <v>69</v>
      </c>
      <c r="F37" s="112">
        <f>_xlfn.IFERROR(D34/D35," ")</f>
        <v>30</v>
      </c>
    </row>
    <row r="38" spans="2:9" ht="15.75">
      <c r="B38" s="176" t="s">
        <v>51</v>
      </c>
      <c r="C38" s="177"/>
      <c r="D38" s="174"/>
      <c r="E38" s="39" t="s">
        <v>44</v>
      </c>
      <c r="F38" s="112">
        <f>_xlfn.IFERROR((PMT(F35/F34,F34*D35,-D34)*F34*D35-D34)/D35," ")</f>
        <v>0.5636645962732949</v>
      </c>
      <c r="I38" s="82"/>
    </row>
    <row r="39" spans="2:6" ht="15.75">
      <c r="B39" s="185" t="s">
        <v>18</v>
      </c>
      <c r="C39" s="186"/>
      <c r="D39" s="187"/>
      <c r="E39" s="188" t="s">
        <v>46</v>
      </c>
      <c r="F39" s="187"/>
    </row>
    <row r="40" spans="2:6" ht="17.25" customHeight="1" thickBot="1">
      <c r="B40" s="89" t="s">
        <v>45</v>
      </c>
      <c r="C40" s="90"/>
      <c r="D40" s="114">
        <f>SUM(D37:D39)</f>
        <v>76.7</v>
      </c>
      <c r="E40" s="89" t="s">
        <v>12</v>
      </c>
      <c r="F40" s="114">
        <f>SUM(F37:F39)</f>
        <v>30.563664596273295</v>
      </c>
    </row>
    <row r="41" spans="2:6" ht="17.25" customHeight="1" thickBot="1">
      <c r="B41" s="494" t="s">
        <v>56</v>
      </c>
      <c r="C41" s="495"/>
      <c r="D41" s="495"/>
      <c r="E41" s="495"/>
      <c r="F41" s="158">
        <f>D40-F40</f>
        <v>46.136335403726704</v>
      </c>
    </row>
    <row r="42" spans="2:6" ht="3.75" customHeight="1" thickBot="1">
      <c r="B42" s="55"/>
      <c r="C42" s="6"/>
      <c r="D42" s="6"/>
      <c r="E42" s="6"/>
      <c r="F42" s="98"/>
    </row>
    <row r="43" spans="2:6" ht="17.25" customHeight="1" thickBot="1">
      <c r="B43" s="494" t="s">
        <v>70</v>
      </c>
      <c r="C43" s="495"/>
      <c r="D43" s="495"/>
      <c r="E43" s="495"/>
      <c r="F43" s="158">
        <f>_xlfn.IFERROR(F41*100/D8," ")</f>
        <v>9.227267080745342</v>
      </c>
    </row>
  </sheetData>
  <sheetProtection sheet="1"/>
  <mergeCells count="16">
    <mergeCell ref="B33:F33"/>
    <mergeCell ref="B34:C34"/>
    <mergeCell ref="B35:C35"/>
    <mergeCell ref="B37:C37"/>
    <mergeCell ref="B41:E41"/>
    <mergeCell ref="B43:E43"/>
    <mergeCell ref="B2:F2"/>
    <mergeCell ref="B4:F4"/>
    <mergeCell ref="C6:F6"/>
    <mergeCell ref="B29:E29"/>
    <mergeCell ref="B31:F31"/>
    <mergeCell ref="B32:D32"/>
    <mergeCell ref="B30:E30"/>
    <mergeCell ref="D5:F5"/>
    <mergeCell ref="B9:C9"/>
    <mergeCell ref="B28:C28"/>
  </mergeCells>
  <conditionalFormatting sqref="F51">
    <cfRule type="cellIs" priority="77" dxfId="1896" operator="lessThan" stopIfTrue="1">
      <formula>0</formula>
    </cfRule>
    <cfRule type="cellIs" priority="78" dxfId="1897" operator="greaterThan" stopIfTrue="1">
      <formula>0</formula>
    </cfRule>
  </conditionalFormatting>
  <conditionalFormatting sqref="F51">
    <cfRule type="cellIs" priority="75" dxfId="1896" operator="lessThan" stopIfTrue="1">
      <formula>0</formula>
    </cfRule>
    <cfRule type="cellIs" priority="76" dxfId="1897" operator="greaterThan" stopIfTrue="1">
      <formula>0</formula>
    </cfRule>
  </conditionalFormatting>
  <conditionalFormatting sqref="F51">
    <cfRule type="cellIs" priority="73" dxfId="1896" operator="lessThan" stopIfTrue="1">
      <formula>0</formula>
    </cfRule>
    <cfRule type="cellIs" priority="74" dxfId="1897" operator="greaterThan" stopIfTrue="1">
      <formula>0</formula>
    </cfRule>
  </conditionalFormatting>
  <conditionalFormatting sqref="F51">
    <cfRule type="cellIs" priority="71" dxfId="1896" operator="lessThan" stopIfTrue="1">
      <formula>0</formula>
    </cfRule>
    <cfRule type="cellIs" priority="72" dxfId="1897" operator="greaterThan" stopIfTrue="1">
      <formula>0</formula>
    </cfRule>
  </conditionalFormatting>
  <conditionalFormatting sqref="F41 F43 F29:F30">
    <cfRule type="cellIs" priority="69" dxfId="1896" operator="lessThan" stopIfTrue="1">
      <formula>0</formula>
    </cfRule>
    <cfRule type="cellIs" priority="70" dxfId="1897" operator="greaterThan" stopIfTrue="1">
      <formula>0</formula>
    </cfRule>
  </conditionalFormatting>
  <conditionalFormatting sqref="F30">
    <cfRule type="cellIs" priority="67" dxfId="1896" operator="lessThan" stopIfTrue="1">
      <formula>0</formula>
    </cfRule>
    <cfRule type="cellIs" priority="68" dxfId="1897" operator="greaterThan" stopIfTrue="1">
      <formula>0</formula>
    </cfRule>
  </conditionalFormatting>
  <conditionalFormatting sqref="F30">
    <cfRule type="cellIs" priority="65" dxfId="1896" operator="lessThan" stopIfTrue="1">
      <formula>0</formula>
    </cfRule>
    <cfRule type="cellIs" priority="66" dxfId="1897" operator="greaterThan" stopIfTrue="1">
      <formula>0</formula>
    </cfRule>
  </conditionalFormatting>
  <conditionalFormatting sqref="F30">
    <cfRule type="cellIs" priority="63" dxfId="1896" operator="lessThan" stopIfTrue="1">
      <formula>0</formula>
    </cfRule>
    <cfRule type="cellIs" priority="64" dxfId="1897" operator="greaterThan" stopIfTrue="1">
      <formula>0</formula>
    </cfRule>
  </conditionalFormatting>
  <conditionalFormatting sqref="F30">
    <cfRule type="cellIs" priority="61" dxfId="1896" operator="lessThan" stopIfTrue="1">
      <formula>0</formula>
    </cfRule>
    <cfRule type="cellIs" priority="62" dxfId="1897" operator="greaterThan" stopIfTrue="1">
      <formula>0</formula>
    </cfRule>
  </conditionalFormatting>
  <conditionalFormatting sqref="F30">
    <cfRule type="cellIs" priority="59" dxfId="1896" operator="lessThan" stopIfTrue="1">
      <formula>0</formula>
    </cfRule>
    <cfRule type="cellIs" priority="60" dxfId="1897" operator="greaterThan" stopIfTrue="1">
      <formula>0</formula>
    </cfRule>
  </conditionalFormatting>
  <conditionalFormatting sqref="F30">
    <cfRule type="cellIs" priority="57" dxfId="1896" operator="lessThan" stopIfTrue="1">
      <formula>0</formula>
    </cfRule>
    <cfRule type="cellIs" priority="58" dxfId="1897" operator="greaterThan" stopIfTrue="1">
      <formula>0</formula>
    </cfRule>
  </conditionalFormatting>
  <conditionalFormatting sqref="F30">
    <cfRule type="cellIs" priority="55" dxfId="1896" operator="lessThan" stopIfTrue="1">
      <formula>0</formula>
    </cfRule>
    <cfRule type="cellIs" priority="56" dxfId="1897" operator="greaterThan" stopIfTrue="1">
      <formula>0</formula>
    </cfRule>
  </conditionalFormatting>
  <conditionalFormatting sqref="F30">
    <cfRule type="cellIs" priority="53" dxfId="1896" operator="lessThan" stopIfTrue="1">
      <formula>0</formula>
    </cfRule>
    <cfRule type="cellIs" priority="54" dxfId="1897" operator="greaterThan" stopIfTrue="1">
      <formula>0</formula>
    </cfRule>
  </conditionalFormatting>
  <conditionalFormatting sqref="F30">
    <cfRule type="cellIs" priority="51" dxfId="1896" operator="lessThan" stopIfTrue="1">
      <formula>0</formula>
    </cfRule>
    <cfRule type="cellIs" priority="52" dxfId="1897" operator="greaterThan" stopIfTrue="1">
      <formula>0</formula>
    </cfRule>
  </conditionalFormatting>
  <conditionalFormatting sqref="F51">
    <cfRule type="cellIs" priority="49" dxfId="1896" operator="lessThan" stopIfTrue="1">
      <formula>0</formula>
    </cfRule>
    <cfRule type="cellIs" priority="50" dxfId="1897" operator="greaterThan" stopIfTrue="1">
      <formula>0</formula>
    </cfRule>
  </conditionalFormatting>
  <conditionalFormatting sqref="F51">
    <cfRule type="cellIs" priority="47" dxfId="1896" operator="lessThan" stopIfTrue="1">
      <formula>0</formula>
    </cfRule>
    <cfRule type="cellIs" priority="48" dxfId="1897" operator="greaterThan" stopIfTrue="1">
      <formula>0</formula>
    </cfRule>
  </conditionalFormatting>
  <conditionalFormatting sqref="F51">
    <cfRule type="cellIs" priority="45" dxfId="1896" operator="lessThan" stopIfTrue="1">
      <formula>0</formula>
    </cfRule>
    <cfRule type="cellIs" priority="46" dxfId="1897" operator="greaterThan" stopIfTrue="1">
      <formula>0</formula>
    </cfRule>
  </conditionalFormatting>
  <conditionalFormatting sqref="F41 F43 F29:F30">
    <cfRule type="cellIs" priority="43" dxfId="1896" operator="lessThan" stopIfTrue="1">
      <formula>0</formula>
    </cfRule>
    <cfRule type="cellIs" priority="44" dxfId="1897" operator="greaterThan" stopIfTrue="1">
      <formula>0</formula>
    </cfRule>
  </conditionalFormatting>
  <conditionalFormatting sqref="F30">
    <cfRule type="cellIs" priority="41" dxfId="1896" operator="lessThan" stopIfTrue="1">
      <formula>0</formula>
    </cfRule>
    <cfRule type="cellIs" priority="42" dxfId="1897" operator="greaterThan" stopIfTrue="1">
      <formula>0</formula>
    </cfRule>
  </conditionalFormatting>
  <conditionalFormatting sqref="F30">
    <cfRule type="cellIs" priority="39" dxfId="1896" operator="lessThan" stopIfTrue="1">
      <formula>0</formula>
    </cfRule>
    <cfRule type="cellIs" priority="40" dxfId="1897" operator="greaterThan" stopIfTrue="1">
      <formula>0</formula>
    </cfRule>
  </conditionalFormatting>
  <conditionalFormatting sqref="F30">
    <cfRule type="cellIs" priority="37" dxfId="1896" operator="lessThan" stopIfTrue="1">
      <formula>0</formula>
    </cfRule>
    <cfRule type="cellIs" priority="38" dxfId="1897" operator="greaterThan" stopIfTrue="1">
      <formula>0</formula>
    </cfRule>
  </conditionalFormatting>
  <conditionalFormatting sqref="F30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30">
    <cfRule type="cellIs" priority="33" dxfId="1896" operator="lessThan" stopIfTrue="1">
      <formula>0</formula>
    </cfRule>
    <cfRule type="cellIs" priority="34" dxfId="1897" operator="greaterThan" stopIfTrue="1">
      <formula>0</formula>
    </cfRule>
  </conditionalFormatting>
  <conditionalFormatting sqref="F30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0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0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0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51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51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41 F43 F29:F30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0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0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0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0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3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0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0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0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0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2" r:id="rId1"/>
  <ignoredErrors>
    <ignoredError sqref="D22:D24" unlockedFormula="1"/>
    <ignoredError sqref="D21" formula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43"/>
  <sheetViews>
    <sheetView showZeros="0" zoomScale="90" zoomScaleNormal="90" zoomScalePageLayoutView="0" workbookViewId="0" topLeftCell="A2">
      <selection activeCell="B2" sqref="B2:F2"/>
    </sheetView>
  </sheetViews>
  <sheetFormatPr defaultColWidth="11.421875" defaultRowHeight="15"/>
  <cols>
    <col min="1" max="1" width="4.28125" style="0" customWidth="1"/>
    <col min="2" max="2" width="42.28125" style="0" customWidth="1"/>
    <col min="3" max="3" width="10.8515625" style="0" customWidth="1"/>
    <col min="4" max="4" width="12.7109375" style="0" customWidth="1"/>
    <col min="5" max="5" width="39.8515625" style="0" customWidth="1"/>
    <col min="6" max="6" width="14.8515625" style="0" customWidth="1"/>
    <col min="7" max="7" width="2.28125" style="0" customWidth="1"/>
  </cols>
  <sheetData>
    <row r="1" ht="15.75" hidden="1" thickBot="1"/>
    <row r="2" spans="2:6" ht="26.25">
      <c r="B2" s="467" t="s">
        <v>72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96" t="str">
        <f>1!B4:F4</f>
        <v>Tomates beefsteak (culture)</v>
      </c>
      <c r="C4" s="497"/>
      <c r="D4" s="497"/>
      <c r="E4" s="497"/>
      <c r="F4" s="498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145</v>
      </c>
      <c r="D6" s="473"/>
      <c r="E6" s="473"/>
      <c r="F6" s="474"/>
    </row>
    <row r="7" spans="2:7" ht="15">
      <c r="B7" s="86" t="s">
        <v>150</v>
      </c>
      <c r="C7" s="160"/>
      <c r="D7" s="342">
        <f>1!D7</f>
        <v>13</v>
      </c>
      <c r="E7" s="350" t="s">
        <v>53</v>
      </c>
      <c r="F7" s="344">
        <v>300</v>
      </c>
      <c r="G7" s="80"/>
    </row>
    <row r="8" spans="2:6" ht="15">
      <c r="B8" s="86" t="s">
        <v>39</v>
      </c>
      <c r="C8" s="159"/>
      <c r="D8" s="345">
        <f>1!D8</f>
        <v>500</v>
      </c>
      <c r="E8" s="351" t="s">
        <v>34</v>
      </c>
      <c r="F8" s="347">
        <v>15</v>
      </c>
    </row>
    <row r="9" spans="2:7" ht="15.75" thickBot="1">
      <c r="B9" s="485" t="s">
        <v>131</v>
      </c>
      <c r="C9" s="486"/>
      <c r="D9" s="348">
        <f>1!$D$9</f>
        <v>0.7</v>
      </c>
      <c r="E9" s="352" t="s">
        <v>42</v>
      </c>
      <c r="F9" s="348">
        <f>1!F9</f>
        <v>0.05</v>
      </c>
      <c r="G9" s="82"/>
    </row>
    <row r="10" spans="2:6" ht="16.5" customHeight="1">
      <c r="B10" s="51" t="s">
        <v>9</v>
      </c>
      <c r="C10" s="73"/>
      <c r="D10" s="17" t="s">
        <v>7</v>
      </c>
      <c r="E10" s="87" t="s">
        <v>22</v>
      </c>
      <c r="F10" s="88" t="s">
        <v>8</v>
      </c>
    </row>
    <row r="11" spans="2:6" ht="15.75">
      <c r="B11" s="176" t="s">
        <v>18</v>
      </c>
      <c r="C11" s="177"/>
      <c r="D11" s="178"/>
      <c r="E11" s="179" t="s">
        <v>18</v>
      </c>
      <c r="F11" s="178"/>
    </row>
    <row r="12" spans="2:6" ht="15.75">
      <c r="B12" s="176" t="s">
        <v>18</v>
      </c>
      <c r="C12" s="177"/>
      <c r="D12" s="180"/>
      <c r="E12" s="181"/>
      <c r="F12" s="180"/>
    </row>
    <row r="13" spans="2:6" ht="16.5" thickBot="1">
      <c r="B13" s="89" t="s">
        <v>1</v>
      </c>
      <c r="C13" s="90"/>
      <c r="D13" s="114">
        <f>SUM(D11:D12)</f>
        <v>0</v>
      </c>
      <c r="E13" s="91" t="s">
        <v>2</v>
      </c>
      <c r="F13" s="114">
        <f>SUM(F11:F12)</f>
        <v>0</v>
      </c>
    </row>
    <row r="14" spans="2:6" ht="3.75" customHeight="1" thickBot="1">
      <c r="B14" s="57"/>
      <c r="C14" s="9"/>
      <c r="D14" s="8"/>
      <c r="E14" s="9"/>
      <c r="F14" s="10"/>
    </row>
    <row r="15" spans="2:6" ht="15.75">
      <c r="B15" s="58" t="s">
        <v>3</v>
      </c>
      <c r="C15" s="76"/>
      <c r="D15" s="15"/>
      <c r="E15" s="36" t="s">
        <v>23</v>
      </c>
      <c r="F15" s="16"/>
    </row>
    <row r="16" spans="2:6" ht="15">
      <c r="B16" s="54"/>
      <c r="C16" s="327" t="s">
        <v>135</v>
      </c>
      <c r="D16" s="326" t="s">
        <v>133</v>
      </c>
      <c r="E16" s="20" t="s">
        <v>18</v>
      </c>
      <c r="F16" s="326" t="s">
        <v>38</v>
      </c>
    </row>
    <row r="17" spans="1:6" ht="15">
      <c r="A17" s="79"/>
      <c r="B17" s="84" t="s">
        <v>48</v>
      </c>
      <c r="C17" s="77"/>
      <c r="D17" s="27"/>
      <c r="E17" s="323" t="s">
        <v>94</v>
      </c>
      <c r="F17" s="309"/>
    </row>
    <row r="18" spans="1:6" ht="15" customHeight="1">
      <c r="A18" s="117"/>
      <c r="B18" s="311" t="s">
        <v>93</v>
      </c>
      <c r="C18" s="304">
        <v>0.03</v>
      </c>
      <c r="D18" s="307">
        <f>C18*$D$7</f>
        <v>0.39</v>
      </c>
      <c r="E18" s="452"/>
      <c r="F18" s="309"/>
    </row>
    <row r="19" spans="1:6" ht="15">
      <c r="A19" s="117"/>
      <c r="B19" s="311"/>
      <c r="C19" s="304"/>
      <c r="D19" s="307">
        <f aca="true" t="shared" si="0" ref="D19:D24">C19*$D$8</f>
        <v>0</v>
      </c>
      <c r="E19" s="323" t="s">
        <v>18</v>
      </c>
      <c r="F19" s="309"/>
    </row>
    <row r="20" spans="1:7" ht="25.5">
      <c r="A20" s="117"/>
      <c r="B20" s="312" t="s">
        <v>47</v>
      </c>
      <c r="C20" s="175"/>
      <c r="D20" s="308">
        <f t="shared" si="0"/>
        <v>0</v>
      </c>
      <c r="E20" s="323"/>
      <c r="F20" s="309"/>
      <c r="G20" s="82"/>
    </row>
    <row r="21" spans="1:7" ht="15">
      <c r="A21" s="117"/>
      <c r="B21" s="311" t="s">
        <v>93</v>
      </c>
      <c r="C21" s="304">
        <v>0.24</v>
      </c>
      <c r="D21" s="307">
        <f>C21*$D$7</f>
        <v>3.12</v>
      </c>
      <c r="E21" s="323"/>
      <c r="F21" s="309"/>
      <c r="G21" s="79"/>
    </row>
    <row r="22" spans="1:7" ht="15">
      <c r="A22" s="117"/>
      <c r="B22" s="311"/>
      <c r="C22" s="304"/>
      <c r="D22" s="307">
        <f t="shared" si="0"/>
        <v>0</v>
      </c>
      <c r="E22" s="362" t="s">
        <v>28</v>
      </c>
      <c r="F22" s="307">
        <f>_xlfn.IFERROR(F7/F8*100/D8," ")</f>
        <v>4</v>
      </c>
      <c r="G22" s="79"/>
    </row>
    <row r="23" spans="1:7" ht="15">
      <c r="A23" s="117"/>
      <c r="B23" s="311"/>
      <c r="C23" s="304"/>
      <c r="D23" s="307">
        <f t="shared" si="0"/>
        <v>0</v>
      </c>
      <c r="E23" s="362" t="s">
        <v>52</v>
      </c>
      <c r="F23" s="307">
        <f>_xlfn.IFERROR((((-(PMT($F$9/1,$F$8*1,$F$7)))*$F$8*1-$F$7))/$F$8*100/$D$8," ")</f>
        <v>1.7805372565546629</v>
      </c>
      <c r="G23" s="111"/>
    </row>
    <row r="24" spans="1:7" ht="15">
      <c r="A24" s="79"/>
      <c r="B24" s="311"/>
      <c r="C24" s="305"/>
      <c r="D24" s="307">
        <f t="shared" si="0"/>
        <v>0</v>
      </c>
      <c r="E24" s="313" t="s">
        <v>18</v>
      </c>
      <c r="F24" s="310"/>
      <c r="G24" s="79"/>
    </row>
    <row r="25" spans="1:6" ht="16.5" thickBot="1">
      <c r="A25" s="79"/>
      <c r="B25" s="89" t="s">
        <v>5</v>
      </c>
      <c r="C25" s="317">
        <f>SUM(C18:C24)</f>
        <v>0.27</v>
      </c>
      <c r="D25" s="115">
        <f>SUM(D17:D24)</f>
        <v>3.5100000000000002</v>
      </c>
      <c r="E25" s="91" t="s">
        <v>6</v>
      </c>
      <c r="F25" s="116">
        <f>SUM(F17:F24)</f>
        <v>5.780537256554663</v>
      </c>
    </row>
    <row r="26" spans="1:6" ht="5.25" customHeight="1">
      <c r="A26" s="79"/>
      <c r="B26" s="102"/>
      <c r="C26" s="103"/>
      <c r="D26" s="104"/>
      <c r="E26" s="105"/>
      <c r="F26" s="106"/>
    </row>
    <row r="27" spans="1:6" ht="16.5" customHeight="1" thickBot="1">
      <c r="A27" s="79"/>
      <c r="B27" s="93" t="s">
        <v>40</v>
      </c>
      <c r="C27" s="316"/>
      <c r="D27" s="95">
        <f>+D25+D13</f>
        <v>3.5100000000000002</v>
      </c>
      <c r="E27" s="94" t="s">
        <v>41</v>
      </c>
      <c r="F27" s="95">
        <f>+F25+F13</f>
        <v>5.780537256554663</v>
      </c>
    </row>
    <row r="28" spans="1:6" ht="29.25" customHeight="1" thickBot="1">
      <c r="A28" s="79"/>
      <c r="B28" s="483" t="s">
        <v>158</v>
      </c>
      <c r="C28" s="484"/>
      <c r="D28" s="314">
        <f>D25-D25/(1+(1-$D$9))</f>
        <v>0.81</v>
      </c>
      <c r="E28" s="96"/>
      <c r="F28" s="97"/>
    </row>
    <row r="29" spans="1:6" ht="16.5" customHeight="1" thickBot="1">
      <c r="A29" s="79"/>
      <c r="B29" s="494" t="s">
        <v>64</v>
      </c>
      <c r="C29" s="495"/>
      <c r="D29" s="495"/>
      <c r="E29" s="495"/>
      <c r="F29" s="158">
        <f>D27-F27</f>
        <v>-2.2705372565546624</v>
      </c>
    </row>
    <row r="30" spans="1:6" ht="16.5" customHeight="1" thickBot="1">
      <c r="A30" s="79"/>
      <c r="B30" s="479" t="s">
        <v>115</v>
      </c>
      <c r="C30" s="480"/>
      <c r="D30" s="480"/>
      <c r="E30" s="480"/>
      <c r="F30" s="293">
        <f>_xlfn.IFERROR(IF((F29+F23+F22)&lt;0.005,"N/A",F7/D8*100/(F29+F23+F22))," ")</f>
        <v>17.09401709401709</v>
      </c>
    </row>
    <row r="31" spans="1:6" s="45" customFormat="1" ht="44.25" customHeight="1">
      <c r="A31" s="100"/>
      <c r="B31" s="477" t="s">
        <v>134</v>
      </c>
      <c r="C31" s="477"/>
      <c r="D31" s="477"/>
      <c r="E31" s="477"/>
      <c r="F31" s="477"/>
    </row>
    <row r="32" spans="1:6" s="45" customFormat="1" ht="21" customHeight="1">
      <c r="A32" s="100"/>
      <c r="B32" s="478" t="s">
        <v>73</v>
      </c>
      <c r="C32" s="478"/>
      <c r="D32" s="478"/>
      <c r="E32" s="14"/>
      <c r="F32" s="101"/>
    </row>
    <row r="33" spans="1:6" s="45" customFormat="1" ht="22.5" customHeight="1" thickBot="1">
      <c r="A33" s="100"/>
      <c r="B33" s="487" t="str">
        <f>"Flux annuel moyen de trésorerie durant la période de l'emprunt. ("&amp;D8&amp;" m²)"</f>
        <v>Flux annuel moyen de trésorerie durant la période de l'emprunt. (500 m²)</v>
      </c>
      <c r="C33" s="487"/>
      <c r="D33" s="487"/>
      <c r="E33" s="487"/>
      <c r="F33" s="487"/>
    </row>
    <row r="34" spans="1:9" s="45" customFormat="1" ht="15.75" customHeight="1">
      <c r="A34" s="100"/>
      <c r="B34" s="488" t="str">
        <f>"Montant de l'emprunt  "&amp;H34*100&amp;" % de l'investissement"</f>
        <v>Montant de l'emprunt  75 % de l'investissement</v>
      </c>
      <c r="C34" s="489"/>
      <c r="D34" s="277">
        <f>H34*F7</f>
        <v>225</v>
      </c>
      <c r="E34" s="264" t="s">
        <v>54</v>
      </c>
      <c r="F34" s="265">
        <v>4</v>
      </c>
      <c r="H34" s="276">
        <v>0.75</v>
      </c>
      <c r="I34" s="269" t="s">
        <v>99</v>
      </c>
    </row>
    <row r="35" spans="1:9" s="45" customFormat="1" ht="15.75" customHeight="1" thickBot="1">
      <c r="A35" s="100"/>
      <c r="B35" s="490" t="str">
        <f>"Durée de l'emprunt  "&amp;H35*100&amp;" % de l'amortissement"</f>
        <v>Durée de l'emprunt  50 % de l'amortissement</v>
      </c>
      <c r="C35" s="491"/>
      <c r="D35" s="278">
        <f>F8*H35</f>
        <v>7.5</v>
      </c>
      <c r="E35" s="266" t="s">
        <v>55</v>
      </c>
      <c r="F35" s="271">
        <f>1!F35</f>
        <v>0.05</v>
      </c>
      <c r="H35" s="276">
        <v>0.5</v>
      </c>
      <c r="I35" s="269" t="s">
        <v>117</v>
      </c>
    </row>
    <row r="36" spans="1:6" s="85" customFormat="1" ht="15.75">
      <c r="A36" s="79"/>
      <c r="B36" s="109" t="s">
        <v>49</v>
      </c>
      <c r="C36" s="107"/>
      <c r="D36" s="108"/>
      <c r="E36" s="110" t="s">
        <v>50</v>
      </c>
      <c r="F36" s="108"/>
    </row>
    <row r="37" spans="1:6" ht="15.75">
      <c r="A37" s="79"/>
      <c r="B37" s="492" t="str">
        <f>"Économies de main d'œuvre sur "&amp;D8&amp;" m²"</f>
        <v>Économies de main d'œuvre sur 500 m²</v>
      </c>
      <c r="C37" s="493"/>
      <c r="D37" s="165">
        <f>D27*$D$8/100</f>
        <v>17.55</v>
      </c>
      <c r="E37" s="7" t="s">
        <v>69</v>
      </c>
      <c r="F37" s="112">
        <f>_xlfn.IFERROR(D34/D35," ")</f>
        <v>30</v>
      </c>
    </row>
    <row r="38" spans="2:9" ht="15.75">
      <c r="B38" s="176" t="s">
        <v>51</v>
      </c>
      <c r="C38" s="177"/>
      <c r="D38" s="174"/>
      <c r="E38" s="39" t="s">
        <v>44</v>
      </c>
      <c r="F38" s="112">
        <f>_xlfn.IFERROR((PMT(F35/F34,F34*D35,-D34)*F34*D35-D34)/D35," ")</f>
        <v>6.160689089937356</v>
      </c>
      <c r="I38" s="82"/>
    </row>
    <row r="39" spans="2:6" ht="15.75">
      <c r="B39" s="185" t="s">
        <v>18</v>
      </c>
      <c r="C39" s="186"/>
      <c r="D39" s="187"/>
      <c r="E39" s="188" t="s">
        <v>46</v>
      </c>
      <c r="F39" s="187"/>
    </row>
    <row r="40" spans="2:6" ht="17.25" customHeight="1" thickBot="1">
      <c r="B40" s="89" t="s">
        <v>45</v>
      </c>
      <c r="C40" s="90"/>
      <c r="D40" s="114">
        <f>SUM(D37:D39)</f>
        <v>17.55</v>
      </c>
      <c r="E40" s="89" t="s">
        <v>12</v>
      </c>
      <c r="F40" s="114">
        <f>SUM(F37:F39)</f>
        <v>36.16068908993736</v>
      </c>
    </row>
    <row r="41" spans="2:6" ht="17.25" customHeight="1" thickBot="1">
      <c r="B41" s="494" t="s">
        <v>56</v>
      </c>
      <c r="C41" s="495"/>
      <c r="D41" s="495"/>
      <c r="E41" s="495"/>
      <c r="F41" s="158">
        <f>D40-F40</f>
        <v>-18.610689089937356</v>
      </c>
    </row>
    <row r="42" spans="2:6" ht="3.75" customHeight="1" thickBot="1">
      <c r="B42" s="55"/>
      <c r="C42" s="6"/>
      <c r="D42" s="6"/>
      <c r="E42" s="6"/>
      <c r="F42" s="98"/>
    </row>
    <row r="43" spans="2:6" ht="17.25" customHeight="1" thickBot="1">
      <c r="B43" s="494" t="s">
        <v>70</v>
      </c>
      <c r="C43" s="495"/>
      <c r="D43" s="495"/>
      <c r="E43" s="495"/>
      <c r="F43" s="158">
        <f>_xlfn.IFERROR(F41*100/D8," ")</f>
        <v>-3.7221378179874716</v>
      </c>
    </row>
  </sheetData>
  <sheetProtection sheet="1"/>
  <mergeCells count="16">
    <mergeCell ref="B43:E43"/>
    <mergeCell ref="B2:F2"/>
    <mergeCell ref="B4:F4"/>
    <mergeCell ref="C6:F6"/>
    <mergeCell ref="B29:E29"/>
    <mergeCell ref="B31:F31"/>
    <mergeCell ref="B30:E30"/>
    <mergeCell ref="B32:D32"/>
    <mergeCell ref="B33:F33"/>
    <mergeCell ref="B34:C34"/>
    <mergeCell ref="B35:C35"/>
    <mergeCell ref="B37:C37"/>
    <mergeCell ref="B41:E41"/>
    <mergeCell ref="D5:F5"/>
    <mergeCell ref="B9:C9"/>
    <mergeCell ref="B28:C28"/>
  </mergeCells>
  <conditionalFormatting sqref="F51">
    <cfRule type="cellIs" priority="107" dxfId="1896" operator="lessThan" stopIfTrue="1">
      <formula>0</formula>
    </cfRule>
    <cfRule type="cellIs" priority="108" dxfId="1897" operator="greaterThan" stopIfTrue="1">
      <formula>0</formula>
    </cfRule>
  </conditionalFormatting>
  <conditionalFormatting sqref="F51">
    <cfRule type="cellIs" priority="105" dxfId="1896" operator="lessThan" stopIfTrue="1">
      <formula>0</formula>
    </cfRule>
    <cfRule type="cellIs" priority="106" dxfId="1897" operator="greaterThan" stopIfTrue="1">
      <formula>0</formula>
    </cfRule>
  </conditionalFormatting>
  <conditionalFormatting sqref="F51">
    <cfRule type="cellIs" priority="103" dxfId="1896" operator="lessThan" stopIfTrue="1">
      <formula>0</formula>
    </cfRule>
    <cfRule type="cellIs" priority="104" dxfId="1897" operator="greaterThan" stopIfTrue="1">
      <formula>0</formula>
    </cfRule>
  </conditionalFormatting>
  <conditionalFormatting sqref="F51">
    <cfRule type="cellIs" priority="101" dxfId="1896" operator="lessThan" stopIfTrue="1">
      <formula>0</formula>
    </cfRule>
    <cfRule type="cellIs" priority="102" dxfId="1897" operator="greaterThan" stopIfTrue="1">
      <formula>0</formula>
    </cfRule>
  </conditionalFormatting>
  <conditionalFormatting sqref="F51">
    <cfRule type="cellIs" priority="99" dxfId="1896" operator="lessThan" stopIfTrue="1">
      <formula>0</formula>
    </cfRule>
    <cfRule type="cellIs" priority="100" dxfId="1897" operator="greaterThan" stopIfTrue="1">
      <formula>0</formula>
    </cfRule>
  </conditionalFormatting>
  <conditionalFormatting sqref="F41 F43 F29:F30">
    <cfRule type="cellIs" priority="97" dxfId="1896" operator="lessThan" stopIfTrue="1">
      <formula>0</formula>
    </cfRule>
    <cfRule type="cellIs" priority="98" dxfId="1897" operator="greaterThan" stopIfTrue="1">
      <formula>0</formula>
    </cfRule>
  </conditionalFormatting>
  <conditionalFormatting sqref="F30">
    <cfRule type="cellIs" priority="95" dxfId="1896" operator="lessThan" stopIfTrue="1">
      <formula>0</formula>
    </cfRule>
    <cfRule type="cellIs" priority="96" dxfId="1897" operator="greaterThan" stopIfTrue="1">
      <formula>0</formula>
    </cfRule>
  </conditionalFormatting>
  <conditionalFormatting sqref="F30">
    <cfRule type="cellIs" priority="93" dxfId="1896" operator="lessThan" stopIfTrue="1">
      <formula>0</formula>
    </cfRule>
    <cfRule type="cellIs" priority="94" dxfId="1897" operator="greaterThan" stopIfTrue="1">
      <formula>0</formula>
    </cfRule>
  </conditionalFormatting>
  <conditionalFormatting sqref="F30">
    <cfRule type="cellIs" priority="91" dxfId="1896" operator="lessThan" stopIfTrue="1">
      <formula>0</formula>
    </cfRule>
    <cfRule type="cellIs" priority="92" dxfId="1897" operator="greaterThan" stopIfTrue="1">
      <formula>0</formula>
    </cfRule>
  </conditionalFormatting>
  <conditionalFormatting sqref="F30">
    <cfRule type="cellIs" priority="89" dxfId="1896" operator="lessThan" stopIfTrue="1">
      <formula>0</formula>
    </cfRule>
    <cfRule type="cellIs" priority="90" dxfId="1897" operator="greaterThan" stopIfTrue="1">
      <formula>0</formula>
    </cfRule>
  </conditionalFormatting>
  <conditionalFormatting sqref="F30">
    <cfRule type="cellIs" priority="87" dxfId="1896" operator="lessThan" stopIfTrue="1">
      <formula>0</formula>
    </cfRule>
    <cfRule type="cellIs" priority="88" dxfId="1897" operator="greaterThan" stopIfTrue="1">
      <formula>0</formula>
    </cfRule>
  </conditionalFormatting>
  <conditionalFormatting sqref="F30">
    <cfRule type="cellIs" priority="85" dxfId="1896" operator="lessThan" stopIfTrue="1">
      <formula>0</formula>
    </cfRule>
    <cfRule type="cellIs" priority="86" dxfId="1897" operator="greaterThan" stopIfTrue="1">
      <formula>0</formula>
    </cfRule>
  </conditionalFormatting>
  <conditionalFormatting sqref="F30">
    <cfRule type="cellIs" priority="83" dxfId="1896" operator="lessThan" stopIfTrue="1">
      <formula>0</formula>
    </cfRule>
    <cfRule type="cellIs" priority="84" dxfId="1897" operator="greaterThan" stopIfTrue="1">
      <formula>0</formula>
    </cfRule>
  </conditionalFormatting>
  <conditionalFormatting sqref="F30">
    <cfRule type="cellIs" priority="81" dxfId="1896" operator="lessThan" stopIfTrue="1">
      <formula>0</formula>
    </cfRule>
    <cfRule type="cellIs" priority="82" dxfId="1897" operator="greaterThan" stopIfTrue="1">
      <formula>0</formula>
    </cfRule>
  </conditionalFormatting>
  <conditionalFormatting sqref="F30">
    <cfRule type="cellIs" priority="79" dxfId="1896" operator="lessThan" stopIfTrue="1">
      <formula>0</formula>
    </cfRule>
    <cfRule type="cellIs" priority="80" dxfId="1897" operator="greaterThan" stopIfTrue="1">
      <formula>0</formula>
    </cfRule>
  </conditionalFormatting>
  <conditionalFormatting sqref="F51">
    <cfRule type="cellIs" priority="77" dxfId="1896" operator="lessThan" stopIfTrue="1">
      <formula>0</formula>
    </cfRule>
    <cfRule type="cellIs" priority="78" dxfId="1897" operator="greaterThan" stopIfTrue="1">
      <formula>0</formula>
    </cfRule>
  </conditionalFormatting>
  <conditionalFormatting sqref="F51">
    <cfRule type="cellIs" priority="75" dxfId="1896" operator="lessThan" stopIfTrue="1">
      <formula>0</formula>
    </cfRule>
    <cfRule type="cellIs" priority="76" dxfId="1897" operator="greaterThan" stopIfTrue="1">
      <formula>0</formula>
    </cfRule>
  </conditionalFormatting>
  <conditionalFormatting sqref="F51">
    <cfRule type="cellIs" priority="73" dxfId="1896" operator="lessThan" stopIfTrue="1">
      <formula>0</formula>
    </cfRule>
    <cfRule type="cellIs" priority="74" dxfId="1897" operator="greaterThan" stopIfTrue="1">
      <formula>0</formula>
    </cfRule>
  </conditionalFormatting>
  <conditionalFormatting sqref="F51">
    <cfRule type="cellIs" priority="71" dxfId="1896" operator="lessThan" stopIfTrue="1">
      <formula>0</formula>
    </cfRule>
    <cfRule type="cellIs" priority="72" dxfId="1897" operator="greaterThan" stopIfTrue="1">
      <formula>0</formula>
    </cfRule>
  </conditionalFormatting>
  <conditionalFormatting sqref="F41 F43 F29:F30">
    <cfRule type="cellIs" priority="69" dxfId="1896" operator="lessThan" stopIfTrue="1">
      <formula>0</formula>
    </cfRule>
    <cfRule type="cellIs" priority="70" dxfId="1897" operator="greaterThan" stopIfTrue="1">
      <formula>0</formula>
    </cfRule>
  </conditionalFormatting>
  <conditionalFormatting sqref="F30">
    <cfRule type="cellIs" priority="67" dxfId="1896" operator="lessThan" stopIfTrue="1">
      <formula>0</formula>
    </cfRule>
    <cfRule type="cellIs" priority="68" dxfId="1897" operator="greaterThan" stopIfTrue="1">
      <formula>0</formula>
    </cfRule>
  </conditionalFormatting>
  <conditionalFormatting sqref="F30">
    <cfRule type="cellIs" priority="65" dxfId="1896" operator="lessThan" stopIfTrue="1">
      <formula>0</formula>
    </cfRule>
    <cfRule type="cellIs" priority="66" dxfId="1897" operator="greaterThan" stopIfTrue="1">
      <formula>0</formula>
    </cfRule>
  </conditionalFormatting>
  <conditionalFormatting sqref="F30">
    <cfRule type="cellIs" priority="63" dxfId="1896" operator="lessThan" stopIfTrue="1">
      <formula>0</formula>
    </cfRule>
    <cfRule type="cellIs" priority="64" dxfId="1897" operator="greaterThan" stopIfTrue="1">
      <formula>0</formula>
    </cfRule>
  </conditionalFormatting>
  <conditionalFormatting sqref="F30">
    <cfRule type="cellIs" priority="61" dxfId="1896" operator="lessThan" stopIfTrue="1">
      <formula>0</formula>
    </cfRule>
    <cfRule type="cellIs" priority="62" dxfId="1897" operator="greaterThan" stopIfTrue="1">
      <formula>0</formula>
    </cfRule>
  </conditionalFormatting>
  <conditionalFormatting sqref="F30">
    <cfRule type="cellIs" priority="59" dxfId="1896" operator="lessThan" stopIfTrue="1">
      <formula>0</formula>
    </cfRule>
    <cfRule type="cellIs" priority="60" dxfId="1897" operator="greaterThan" stopIfTrue="1">
      <formula>0</formula>
    </cfRule>
  </conditionalFormatting>
  <conditionalFormatting sqref="F30">
    <cfRule type="cellIs" priority="57" dxfId="1896" operator="lessThan" stopIfTrue="1">
      <formula>0</formula>
    </cfRule>
    <cfRule type="cellIs" priority="58" dxfId="1897" operator="greaterThan" stopIfTrue="1">
      <formula>0</formula>
    </cfRule>
  </conditionalFormatting>
  <conditionalFormatting sqref="F30">
    <cfRule type="cellIs" priority="55" dxfId="1896" operator="lessThan" stopIfTrue="1">
      <formula>0</formula>
    </cfRule>
    <cfRule type="cellIs" priority="56" dxfId="1897" operator="greaterThan" stopIfTrue="1">
      <formula>0</formula>
    </cfRule>
  </conditionalFormatting>
  <conditionalFormatting sqref="F30">
    <cfRule type="cellIs" priority="53" dxfId="1896" operator="lessThan" stopIfTrue="1">
      <formula>0</formula>
    </cfRule>
    <cfRule type="cellIs" priority="54" dxfId="1897" operator="greaterThan" stopIfTrue="1">
      <formula>0</formula>
    </cfRule>
  </conditionalFormatting>
  <conditionalFormatting sqref="F30">
    <cfRule type="cellIs" priority="51" dxfId="1896" operator="lessThan" stopIfTrue="1">
      <formula>0</formula>
    </cfRule>
    <cfRule type="cellIs" priority="52" dxfId="1897" operator="greaterThan" stopIfTrue="1">
      <formula>0</formula>
    </cfRule>
  </conditionalFormatting>
  <conditionalFormatting sqref="F51">
    <cfRule type="cellIs" priority="49" dxfId="1896" operator="lessThan" stopIfTrue="1">
      <formula>0</formula>
    </cfRule>
    <cfRule type="cellIs" priority="50" dxfId="1897" operator="greaterThan" stopIfTrue="1">
      <formula>0</formula>
    </cfRule>
  </conditionalFormatting>
  <conditionalFormatting sqref="F51">
    <cfRule type="cellIs" priority="47" dxfId="1896" operator="lessThan" stopIfTrue="1">
      <formula>0</formula>
    </cfRule>
    <cfRule type="cellIs" priority="48" dxfId="1897" operator="greaterThan" stopIfTrue="1">
      <formula>0</formula>
    </cfRule>
  </conditionalFormatting>
  <conditionalFormatting sqref="F51">
    <cfRule type="cellIs" priority="45" dxfId="1896" operator="lessThan" stopIfTrue="1">
      <formula>0</formula>
    </cfRule>
    <cfRule type="cellIs" priority="46" dxfId="1897" operator="greaterThan" stopIfTrue="1">
      <formula>0</formula>
    </cfRule>
  </conditionalFormatting>
  <conditionalFormatting sqref="F41 F43 F29:F30">
    <cfRule type="cellIs" priority="43" dxfId="1896" operator="lessThan" stopIfTrue="1">
      <formula>0</formula>
    </cfRule>
    <cfRule type="cellIs" priority="44" dxfId="1897" operator="greaterThan" stopIfTrue="1">
      <formula>0</formula>
    </cfRule>
  </conditionalFormatting>
  <conditionalFormatting sqref="F30">
    <cfRule type="cellIs" priority="41" dxfId="1896" operator="lessThan" stopIfTrue="1">
      <formula>0</formula>
    </cfRule>
    <cfRule type="cellIs" priority="42" dxfId="1897" operator="greaterThan" stopIfTrue="1">
      <formula>0</formula>
    </cfRule>
  </conditionalFormatting>
  <conditionalFormatting sqref="F30">
    <cfRule type="cellIs" priority="39" dxfId="1896" operator="lessThan" stopIfTrue="1">
      <formula>0</formula>
    </cfRule>
    <cfRule type="cellIs" priority="40" dxfId="1897" operator="greaterThan" stopIfTrue="1">
      <formula>0</formula>
    </cfRule>
  </conditionalFormatting>
  <conditionalFormatting sqref="F30">
    <cfRule type="cellIs" priority="37" dxfId="1896" operator="lessThan" stopIfTrue="1">
      <formula>0</formula>
    </cfRule>
    <cfRule type="cellIs" priority="38" dxfId="1897" operator="greaterThan" stopIfTrue="1">
      <formula>0</formula>
    </cfRule>
  </conditionalFormatting>
  <conditionalFormatting sqref="F30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30">
    <cfRule type="cellIs" priority="33" dxfId="1896" operator="lessThan" stopIfTrue="1">
      <formula>0</formula>
    </cfRule>
    <cfRule type="cellIs" priority="34" dxfId="1897" operator="greaterThan" stopIfTrue="1">
      <formula>0</formula>
    </cfRule>
  </conditionalFormatting>
  <conditionalFormatting sqref="F30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0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0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0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51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51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41 F43 F29:F30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0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0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0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0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3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0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0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0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0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ignoredErrors>
    <ignoredError sqref="D21" formula="1"/>
    <ignoredError sqref="D22:D24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I43"/>
  <sheetViews>
    <sheetView showZeros="0" zoomScale="90" zoomScaleNormal="90" zoomScalePageLayoutView="0" workbookViewId="0" topLeftCell="A2">
      <selection activeCell="B2" sqref="B2:F2"/>
    </sheetView>
  </sheetViews>
  <sheetFormatPr defaultColWidth="11.421875" defaultRowHeight="15"/>
  <cols>
    <col min="1" max="1" width="4.28125" style="0" customWidth="1"/>
    <col min="2" max="2" width="42.28125" style="0" customWidth="1"/>
    <col min="3" max="3" width="10.8515625" style="0" customWidth="1"/>
    <col min="4" max="4" width="12.7109375" style="0" customWidth="1"/>
    <col min="5" max="5" width="39.8515625" style="0" customWidth="1"/>
    <col min="6" max="6" width="14.8515625" style="0" customWidth="1"/>
    <col min="7" max="7" width="2.28125" style="0" customWidth="1"/>
  </cols>
  <sheetData>
    <row r="1" ht="15.75" hidden="1" thickBot="1"/>
    <row r="2" spans="2:6" ht="26.25">
      <c r="B2" s="467" t="s">
        <v>72</v>
      </c>
      <c r="C2" s="468"/>
      <c r="D2" s="468"/>
      <c r="E2" s="468"/>
      <c r="F2" s="469"/>
    </row>
    <row r="3" spans="2:6" ht="15.75" customHeight="1" hidden="1">
      <c r="B3" s="41" t="s">
        <v>18</v>
      </c>
      <c r="C3" s="42"/>
      <c r="D3" s="42"/>
      <c r="E3" s="42"/>
      <c r="F3" s="43"/>
    </row>
    <row r="4" spans="2:6" ht="20.25">
      <c r="B4" s="496" t="str">
        <f>1!B4:F4</f>
        <v>Tomates beefsteak (culture)</v>
      </c>
      <c r="C4" s="497"/>
      <c r="D4" s="497"/>
      <c r="E4" s="497"/>
      <c r="F4" s="498"/>
    </row>
    <row r="5" spans="2:6" ht="15">
      <c r="B5" s="44"/>
      <c r="C5" s="447">
        <f>1!$C$5</f>
        <v>8</v>
      </c>
      <c r="D5" s="481" t="s">
        <v>149</v>
      </c>
      <c r="E5" s="481"/>
      <c r="F5" s="482"/>
    </row>
    <row r="6" spans="2:6" ht="27" customHeight="1">
      <c r="B6" s="81" t="s">
        <v>35</v>
      </c>
      <c r="C6" s="473" t="s">
        <v>26</v>
      </c>
      <c r="D6" s="473"/>
      <c r="E6" s="473"/>
      <c r="F6" s="474"/>
    </row>
    <row r="7" spans="2:7" ht="15">
      <c r="B7" s="86" t="s">
        <v>150</v>
      </c>
      <c r="C7" s="160"/>
      <c r="D7" s="342">
        <f>1!D7</f>
        <v>13</v>
      </c>
      <c r="E7" s="350" t="s">
        <v>53</v>
      </c>
      <c r="F7" s="344">
        <v>500</v>
      </c>
      <c r="G7" s="80"/>
    </row>
    <row r="8" spans="2:6" ht="15">
      <c r="B8" s="86" t="s">
        <v>39</v>
      </c>
      <c r="C8" s="159"/>
      <c r="D8" s="345">
        <f>1!D8</f>
        <v>500</v>
      </c>
      <c r="E8" s="351" t="s">
        <v>34</v>
      </c>
      <c r="F8" s="347">
        <v>8</v>
      </c>
    </row>
    <row r="9" spans="2:7" ht="15.75" thickBot="1">
      <c r="B9" s="485" t="s">
        <v>131</v>
      </c>
      <c r="C9" s="486"/>
      <c r="D9" s="348">
        <f>1!$D$9</f>
        <v>0.7</v>
      </c>
      <c r="E9" s="352" t="s">
        <v>42</v>
      </c>
      <c r="F9" s="348">
        <f>1!F9</f>
        <v>0.05</v>
      </c>
      <c r="G9" s="82"/>
    </row>
    <row r="10" spans="2:6" ht="16.5" customHeight="1">
      <c r="B10" s="51" t="s">
        <v>9</v>
      </c>
      <c r="C10" s="73"/>
      <c r="D10" s="17" t="s">
        <v>7</v>
      </c>
      <c r="E10" s="87" t="s">
        <v>22</v>
      </c>
      <c r="F10" s="88" t="s">
        <v>8</v>
      </c>
    </row>
    <row r="11" spans="2:6" ht="15.75">
      <c r="B11" s="176" t="s">
        <v>18</v>
      </c>
      <c r="C11" s="177"/>
      <c r="D11" s="178"/>
      <c r="E11" s="179" t="s">
        <v>18</v>
      </c>
      <c r="F11" s="178"/>
    </row>
    <row r="12" spans="2:6" ht="15.75">
      <c r="B12" s="176" t="s">
        <v>18</v>
      </c>
      <c r="C12" s="177"/>
      <c r="D12" s="180"/>
      <c r="E12" s="181"/>
      <c r="F12" s="180"/>
    </row>
    <row r="13" spans="2:6" ht="16.5" thickBot="1">
      <c r="B13" s="89" t="s">
        <v>1</v>
      </c>
      <c r="C13" s="90"/>
      <c r="D13" s="114">
        <f>SUM(D11:D12)</f>
        <v>0</v>
      </c>
      <c r="E13" s="91" t="s">
        <v>2</v>
      </c>
      <c r="F13" s="114">
        <f>SUM(F11:F12)</f>
        <v>0</v>
      </c>
    </row>
    <row r="14" spans="2:6" ht="3.75" customHeight="1" thickBot="1">
      <c r="B14" s="57"/>
      <c r="C14" s="9"/>
      <c r="D14" s="8"/>
      <c r="E14" s="9"/>
      <c r="F14" s="10"/>
    </row>
    <row r="15" spans="2:6" ht="15.75">
      <c r="B15" s="58" t="s">
        <v>3</v>
      </c>
      <c r="C15" s="76"/>
      <c r="D15" s="15"/>
      <c r="E15" s="36" t="s">
        <v>23</v>
      </c>
      <c r="F15" s="16"/>
    </row>
    <row r="16" spans="2:6" ht="15">
      <c r="B16" s="54"/>
      <c r="C16" s="327" t="s">
        <v>135</v>
      </c>
      <c r="D16" s="326" t="s">
        <v>133</v>
      </c>
      <c r="E16" s="20" t="s">
        <v>18</v>
      </c>
      <c r="F16" s="326" t="s">
        <v>38</v>
      </c>
    </row>
    <row r="17" spans="1:6" ht="15">
      <c r="A17" s="79"/>
      <c r="B17" s="84" t="s">
        <v>48</v>
      </c>
      <c r="C17" s="77"/>
      <c r="D17" s="27"/>
      <c r="E17" s="323" t="s">
        <v>92</v>
      </c>
      <c r="F17" s="309"/>
    </row>
    <row r="18" spans="1:6" ht="15" customHeight="1">
      <c r="A18" s="117"/>
      <c r="B18" s="311" t="s">
        <v>93</v>
      </c>
      <c r="C18" s="304">
        <v>0.88</v>
      </c>
      <c r="D18" s="307">
        <f>C18*$D$7</f>
        <v>11.44</v>
      </c>
      <c r="E18" s="453">
        <v>0.025</v>
      </c>
      <c r="F18" s="309">
        <f>0.025*F7/5</f>
        <v>2.5</v>
      </c>
    </row>
    <row r="19" spans="1:6" ht="15">
      <c r="A19" s="117"/>
      <c r="B19" s="311"/>
      <c r="C19" s="304"/>
      <c r="D19" s="307">
        <f aca="true" t="shared" si="0" ref="D19:D24">C19*$D$8</f>
        <v>0</v>
      </c>
      <c r="E19" s="323" t="s">
        <v>18</v>
      </c>
      <c r="F19" s="309"/>
    </row>
    <row r="20" spans="1:7" ht="25.5">
      <c r="A20" s="117"/>
      <c r="B20" s="312" t="s">
        <v>47</v>
      </c>
      <c r="C20" s="175"/>
      <c r="D20" s="308">
        <f t="shared" si="0"/>
        <v>0</v>
      </c>
      <c r="E20" s="323"/>
      <c r="F20" s="309"/>
      <c r="G20" s="82"/>
    </row>
    <row r="21" spans="1:7" ht="15">
      <c r="A21" s="117"/>
      <c r="B21" s="311" t="s">
        <v>93</v>
      </c>
      <c r="C21" s="304">
        <v>7.51</v>
      </c>
      <c r="D21" s="307">
        <f>C21*$D$7</f>
        <v>97.63</v>
      </c>
      <c r="E21" s="323"/>
      <c r="F21" s="309"/>
      <c r="G21" s="79"/>
    </row>
    <row r="22" spans="1:7" ht="15">
      <c r="A22" s="117"/>
      <c r="B22" s="311"/>
      <c r="C22" s="304"/>
      <c r="D22" s="307">
        <f t="shared" si="0"/>
        <v>0</v>
      </c>
      <c r="E22" s="362" t="s">
        <v>28</v>
      </c>
      <c r="F22" s="307">
        <f>_xlfn.IFERROR(F7/F8*100/D8," ")</f>
        <v>12.5</v>
      </c>
      <c r="G22" s="79"/>
    </row>
    <row r="23" spans="1:7" ht="15">
      <c r="A23" s="117"/>
      <c r="B23" s="311"/>
      <c r="C23" s="304"/>
      <c r="D23" s="307">
        <f t="shared" si="0"/>
        <v>0</v>
      </c>
      <c r="E23" s="362" t="s">
        <v>52</v>
      </c>
      <c r="F23" s="307">
        <f>_xlfn.IFERROR((((-(PMT($F$9/1,$F$8*1,$F$7)))*$F$8*1-$F$7))/$F$8*100/$D$8," ")</f>
        <v>2.9721813627681146</v>
      </c>
      <c r="G23" s="111"/>
    </row>
    <row r="24" spans="1:7" ht="15">
      <c r="A24" s="79"/>
      <c r="B24" s="311"/>
      <c r="C24" s="305"/>
      <c r="D24" s="307">
        <f t="shared" si="0"/>
        <v>0</v>
      </c>
      <c r="E24" s="313" t="s">
        <v>18</v>
      </c>
      <c r="F24" s="310"/>
      <c r="G24" s="79"/>
    </row>
    <row r="25" spans="1:6" ht="16.5" thickBot="1">
      <c r="A25" s="79"/>
      <c r="B25" s="89" t="s">
        <v>5</v>
      </c>
      <c r="C25" s="317">
        <f>SUM(C18:C24)</f>
        <v>8.39</v>
      </c>
      <c r="D25" s="115">
        <f>SUM(D17:D24)</f>
        <v>109.07</v>
      </c>
      <c r="E25" s="91" t="s">
        <v>6</v>
      </c>
      <c r="F25" s="116">
        <f>SUM(F17:F24)</f>
        <v>17.972181362768115</v>
      </c>
    </row>
    <row r="26" spans="1:6" ht="5.25" customHeight="1">
      <c r="A26" s="79"/>
      <c r="B26" s="102"/>
      <c r="C26" s="103"/>
      <c r="D26" s="104"/>
      <c r="E26" s="105"/>
      <c r="F26" s="106"/>
    </row>
    <row r="27" spans="1:6" ht="16.5" customHeight="1" thickBot="1">
      <c r="A27" s="79"/>
      <c r="B27" s="93" t="s">
        <v>40</v>
      </c>
      <c r="C27" s="316"/>
      <c r="D27" s="95">
        <f>+D25+D13</f>
        <v>109.07</v>
      </c>
      <c r="E27" s="94" t="s">
        <v>41</v>
      </c>
      <c r="F27" s="95">
        <f>+F25+F13</f>
        <v>17.972181362768115</v>
      </c>
    </row>
    <row r="28" spans="1:6" ht="29.25" customHeight="1" thickBot="1">
      <c r="A28" s="79"/>
      <c r="B28" s="483" t="s">
        <v>158</v>
      </c>
      <c r="C28" s="484"/>
      <c r="D28" s="314">
        <f>D25-D25/(1+(1-$D$9))</f>
        <v>25.17</v>
      </c>
      <c r="E28" s="96"/>
      <c r="F28" s="97"/>
    </row>
    <row r="29" spans="1:6" ht="16.5" customHeight="1" thickBot="1">
      <c r="A29" s="79"/>
      <c r="B29" s="494" t="s">
        <v>64</v>
      </c>
      <c r="C29" s="495"/>
      <c r="D29" s="495"/>
      <c r="E29" s="495"/>
      <c r="F29" s="158">
        <f>D27-F27</f>
        <v>91.09781863723188</v>
      </c>
    </row>
    <row r="30" spans="1:6" ht="16.5" customHeight="1" thickBot="1">
      <c r="A30" s="79"/>
      <c r="B30" s="479" t="s">
        <v>115</v>
      </c>
      <c r="C30" s="480"/>
      <c r="D30" s="480"/>
      <c r="E30" s="480"/>
      <c r="F30" s="293">
        <f>_xlfn.IFERROR(IF((F29+F23+F22)&lt;0.005,"N/A",F7/D8*100/(F29+F23+F22))," ")</f>
        <v>0.938350380031904</v>
      </c>
    </row>
    <row r="31" spans="1:6" s="45" customFormat="1" ht="44.25" customHeight="1">
      <c r="A31" s="100"/>
      <c r="B31" s="477" t="s">
        <v>134</v>
      </c>
      <c r="C31" s="477"/>
      <c r="D31" s="477"/>
      <c r="E31" s="477"/>
      <c r="F31" s="477"/>
    </row>
    <row r="32" spans="1:6" s="45" customFormat="1" ht="21" customHeight="1">
      <c r="A32" s="100"/>
      <c r="B32" s="478" t="s">
        <v>73</v>
      </c>
      <c r="C32" s="478"/>
      <c r="D32" s="478"/>
      <c r="E32" s="14"/>
      <c r="F32" s="101"/>
    </row>
    <row r="33" spans="1:6" s="45" customFormat="1" ht="22.5" customHeight="1" thickBot="1">
      <c r="A33" s="100"/>
      <c r="B33" s="487" t="str">
        <f>"Flux annuel moyen de trésorerie durant la période de l'emprunt. ("&amp;D8&amp;" m²)"</f>
        <v>Flux annuel moyen de trésorerie durant la période de l'emprunt. (500 m²)</v>
      </c>
      <c r="C33" s="487"/>
      <c r="D33" s="487"/>
      <c r="E33" s="487"/>
      <c r="F33" s="487"/>
    </row>
    <row r="34" spans="1:9" s="45" customFormat="1" ht="15.75" customHeight="1">
      <c r="A34" s="100"/>
      <c r="B34" s="488" t="str">
        <f>"Montant de l'emprunt  "&amp;H34*100&amp;" % de l'investissement"</f>
        <v>Montant de l'emprunt  75 % de l'investissement</v>
      </c>
      <c r="C34" s="489"/>
      <c r="D34" s="277">
        <f>H34*F7</f>
        <v>375</v>
      </c>
      <c r="E34" s="264" t="s">
        <v>54</v>
      </c>
      <c r="F34" s="265">
        <v>4</v>
      </c>
      <c r="H34" s="276">
        <v>0.75</v>
      </c>
      <c r="I34" s="269" t="s">
        <v>99</v>
      </c>
    </row>
    <row r="35" spans="1:9" s="45" customFormat="1" ht="15.75" customHeight="1" thickBot="1">
      <c r="A35" s="100"/>
      <c r="B35" s="490" t="str">
        <f>"Durée de l'emprunt  "&amp;H35*100&amp;" % de l'amortissement"</f>
        <v>Durée de l'emprunt  50 % de l'amortissement</v>
      </c>
      <c r="C35" s="491"/>
      <c r="D35" s="278">
        <f>F8*H35</f>
        <v>4</v>
      </c>
      <c r="E35" s="266" t="s">
        <v>55</v>
      </c>
      <c r="F35" s="271">
        <f>1!F35</f>
        <v>0.05</v>
      </c>
      <c r="H35" s="276">
        <v>0.5</v>
      </c>
      <c r="I35" s="269" t="s">
        <v>117</v>
      </c>
    </row>
    <row r="36" spans="1:6" s="85" customFormat="1" ht="15.75">
      <c r="A36" s="79"/>
      <c r="B36" s="109" t="s">
        <v>49</v>
      </c>
      <c r="C36" s="107"/>
      <c r="D36" s="108"/>
      <c r="E36" s="110" t="s">
        <v>50</v>
      </c>
      <c r="F36" s="108"/>
    </row>
    <row r="37" spans="1:6" ht="15.75">
      <c r="A37" s="79"/>
      <c r="B37" s="492" t="str">
        <f>"Économies de main d'œuvre sur "&amp;D8&amp;" m²"</f>
        <v>Économies de main d'œuvre sur 500 m²</v>
      </c>
      <c r="C37" s="493"/>
      <c r="D37" s="165">
        <f>D27*$D$8/100</f>
        <v>545.35</v>
      </c>
      <c r="E37" s="7" t="s">
        <v>69</v>
      </c>
      <c r="F37" s="112">
        <f>_xlfn.IFERROR(D34/D35," ")</f>
        <v>93.75</v>
      </c>
    </row>
    <row r="38" spans="2:9" ht="15.75">
      <c r="B38" s="176" t="s">
        <v>51</v>
      </c>
      <c r="C38" s="177"/>
      <c r="D38" s="174"/>
      <c r="E38" s="39" t="s">
        <v>44</v>
      </c>
      <c r="F38" s="112">
        <f>_xlfn.IFERROR((PMT(F35/F34,F34*D35,-D34)*F34*D35-D34)/D35," ")</f>
        <v>10.270083075218722</v>
      </c>
      <c r="I38" s="82"/>
    </row>
    <row r="39" spans="2:6" ht="15.75">
      <c r="B39" s="185" t="s">
        <v>18</v>
      </c>
      <c r="C39" s="186"/>
      <c r="D39" s="187"/>
      <c r="E39" s="188" t="s">
        <v>46</v>
      </c>
      <c r="F39" s="187"/>
    </row>
    <row r="40" spans="2:6" ht="17.25" customHeight="1" thickBot="1">
      <c r="B40" s="89" t="s">
        <v>45</v>
      </c>
      <c r="C40" s="90"/>
      <c r="D40" s="114">
        <f>SUM(D37:D39)</f>
        <v>545.35</v>
      </c>
      <c r="E40" s="89" t="s">
        <v>12</v>
      </c>
      <c r="F40" s="114">
        <f>SUM(F37:F39)</f>
        <v>104.02008307521872</v>
      </c>
    </row>
    <row r="41" spans="2:6" ht="17.25" customHeight="1" thickBot="1">
      <c r="B41" s="494" t="s">
        <v>56</v>
      </c>
      <c r="C41" s="495"/>
      <c r="D41" s="495"/>
      <c r="E41" s="495"/>
      <c r="F41" s="158">
        <f>D40-F40</f>
        <v>441.3299169247813</v>
      </c>
    </row>
    <row r="42" spans="2:6" ht="3.75" customHeight="1" thickBot="1">
      <c r="B42" s="55"/>
      <c r="C42" s="6"/>
      <c r="D42" s="6"/>
      <c r="E42" s="6"/>
      <c r="F42" s="98"/>
    </row>
    <row r="43" spans="2:6" ht="17.25" customHeight="1" thickBot="1">
      <c r="B43" s="494" t="s">
        <v>70</v>
      </c>
      <c r="C43" s="495"/>
      <c r="D43" s="495"/>
      <c r="E43" s="495"/>
      <c r="F43" s="158">
        <f>_xlfn.IFERROR(F41*100/D8," ")</f>
        <v>88.26598338495626</v>
      </c>
    </row>
  </sheetData>
  <sheetProtection sheet="1"/>
  <mergeCells count="16">
    <mergeCell ref="B35:C35"/>
    <mergeCell ref="B37:C37"/>
    <mergeCell ref="B41:E41"/>
    <mergeCell ref="B43:E43"/>
    <mergeCell ref="B32:D32"/>
    <mergeCell ref="B30:E30"/>
    <mergeCell ref="D5:F5"/>
    <mergeCell ref="B9:C9"/>
    <mergeCell ref="B33:F33"/>
    <mergeCell ref="B34:C34"/>
    <mergeCell ref="B28:C28"/>
    <mergeCell ref="B2:F2"/>
    <mergeCell ref="B4:F4"/>
    <mergeCell ref="C6:F6"/>
    <mergeCell ref="B29:E29"/>
    <mergeCell ref="B31:F31"/>
  </mergeCells>
  <conditionalFormatting sqref="F51">
    <cfRule type="cellIs" priority="139" dxfId="1896" operator="lessThan" stopIfTrue="1">
      <formula>0</formula>
    </cfRule>
    <cfRule type="cellIs" priority="140" dxfId="1897" operator="greaterThan" stopIfTrue="1">
      <formula>0</formula>
    </cfRule>
  </conditionalFormatting>
  <conditionalFormatting sqref="F51">
    <cfRule type="cellIs" priority="137" dxfId="1896" operator="lessThan" stopIfTrue="1">
      <formula>0</formula>
    </cfRule>
    <cfRule type="cellIs" priority="138" dxfId="1897" operator="greaterThan" stopIfTrue="1">
      <formula>0</formula>
    </cfRule>
  </conditionalFormatting>
  <conditionalFormatting sqref="F51">
    <cfRule type="cellIs" priority="135" dxfId="1896" operator="lessThan" stopIfTrue="1">
      <formula>0</formula>
    </cfRule>
    <cfRule type="cellIs" priority="136" dxfId="1897" operator="greaterThan" stopIfTrue="1">
      <formula>0</formula>
    </cfRule>
  </conditionalFormatting>
  <conditionalFormatting sqref="F51">
    <cfRule type="cellIs" priority="133" dxfId="1896" operator="lessThan" stopIfTrue="1">
      <formula>0</formula>
    </cfRule>
    <cfRule type="cellIs" priority="134" dxfId="1897" operator="greaterThan" stopIfTrue="1">
      <formula>0</formula>
    </cfRule>
  </conditionalFormatting>
  <conditionalFormatting sqref="F51">
    <cfRule type="cellIs" priority="131" dxfId="1896" operator="lessThan" stopIfTrue="1">
      <formula>0</formula>
    </cfRule>
    <cfRule type="cellIs" priority="132" dxfId="1897" operator="greaterThan" stopIfTrue="1">
      <formula>0</formula>
    </cfRule>
  </conditionalFormatting>
  <conditionalFormatting sqref="F51">
    <cfRule type="cellIs" priority="129" dxfId="1896" operator="lessThan" stopIfTrue="1">
      <formula>0</formula>
    </cfRule>
    <cfRule type="cellIs" priority="130" dxfId="1897" operator="greaterThan" stopIfTrue="1">
      <formula>0</formula>
    </cfRule>
  </conditionalFormatting>
  <conditionalFormatting sqref="F41 F43 F29:F30">
    <cfRule type="cellIs" priority="127" dxfId="1896" operator="lessThan" stopIfTrue="1">
      <formula>0</formula>
    </cfRule>
    <cfRule type="cellIs" priority="128" dxfId="1897" operator="greaterThan" stopIfTrue="1">
      <formula>0</formula>
    </cfRule>
  </conditionalFormatting>
  <conditionalFormatting sqref="F30">
    <cfRule type="cellIs" priority="125" dxfId="1896" operator="lessThan" stopIfTrue="1">
      <formula>0</formula>
    </cfRule>
    <cfRule type="cellIs" priority="126" dxfId="1897" operator="greaterThan" stopIfTrue="1">
      <formula>0</formula>
    </cfRule>
  </conditionalFormatting>
  <conditionalFormatting sqref="F30">
    <cfRule type="cellIs" priority="123" dxfId="1896" operator="lessThan" stopIfTrue="1">
      <formula>0</formula>
    </cfRule>
    <cfRule type="cellIs" priority="124" dxfId="1897" operator="greaterThan" stopIfTrue="1">
      <formula>0</formula>
    </cfRule>
  </conditionalFormatting>
  <conditionalFormatting sqref="F30">
    <cfRule type="cellIs" priority="121" dxfId="1896" operator="lessThan" stopIfTrue="1">
      <formula>0</formula>
    </cfRule>
    <cfRule type="cellIs" priority="122" dxfId="1897" operator="greaterThan" stopIfTrue="1">
      <formula>0</formula>
    </cfRule>
  </conditionalFormatting>
  <conditionalFormatting sqref="F30">
    <cfRule type="cellIs" priority="119" dxfId="1896" operator="lessThan" stopIfTrue="1">
      <formula>0</formula>
    </cfRule>
    <cfRule type="cellIs" priority="120" dxfId="1897" operator="greaterThan" stopIfTrue="1">
      <formula>0</formula>
    </cfRule>
  </conditionalFormatting>
  <conditionalFormatting sqref="F30">
    <cfRule type="cellIs" priority="117" dxfId="1896" operator="lessThan" stopIfTrue="1">
      <formula>0</formula>
    </cfRule>
    <cfRule type="cellIs" priority="118" dxfId="1897" operator="greaterThan" stopIfTrue="1">
      <formula>0</formula>
    </cfRule>
  </conditionalFormatting>
  <conditionalFormatting sqref="F30">
    <cfRule type="cellIs" priority="115" dxfId="1896" operator="lessThan" stopIfTrue="1">
      <formula>0</formula>
    </cfRule>
    <cfRule type="cellIs" priority="116" dxfId="1897" operator="greaterThan" stopIfTrue="1">
      <formula>0</formula>
    </cfRule>
  </conditionalFormatting>
  <conditionalFormatting sqref="F30">
    <cfRule type="cellIs" priority="113" dxfId="1896" operator="lessThan" stopIfTrue="1">
      <formula>0</formula>
    </cfRule>
    <cfRule type="cellIs" priority="114" dxfId="1897" operator="greaterThan" stopIfTrue="1">
      <formula>0</formula>
    </cfRule>
  </conditionalFormatting>
  <conditionalFormatting sqref="F30">
    <cfRule type="cellIs" priority="111" dxfId="1896" operator="lessThan" stopIfTrue="1">
      <formula>0</formula>
    </cfRule>
    <cfRule type="cellIs" priority="112" dxfId="1897" operator="greaterThan" stopIfTrue="1">
      <formula>0</formula>
    </cfRule>
  </conditionalFormatting>
  <conditionalFormatting sqref="F30">
    <cfRule type="cellIs" priority="109" dxfId="1896" operator="lessThan" stopIfTrue="1">
      <formula>0</formula>
    </cfRule>
    <cfRule type="cellIs" priority="110" dxfId="1897" operator="greaterThan" stopIfTrue="1">
      <formula>0</formula>
    </cfRule>
  </conditionalFormatting>
  <conditionalFormatting sqref="F51">
    <cfRule type="cellIs" priority="107" dxfId="1896" operator="lessThan" stopIfTrue="1">
      <formula>0</formula>
    </cfRule>
    <cfRule type="cellIs" priority="108" dxfId="1897" operator="greaterThan" stopIfTrue="1">
      <formula>0</formula>
    </cfRule>
  </conditionalFormatting>
  <conditionalFormatting sqref="F51">
    <cfRule type="cellIs" priority="105" dxfId="1896" operator="lessThan" stopIfTrue="1">
      <formula>0</formula>
    </cfRule>
    <cfRule type="cellIs" priority="106" dxfId="1897" operator="greaterThan" stopIfTrue="1">
      <formula>0</formula>
    </cfRule>
  </conditionalFormatting>
  <conditionalFormatting sqref="F51">
    <cfRule type="cellIs" priority="103" dxfId="1896" operator="lessThan" stopIfTrue="1">
      <formula>0</formula>
    </cfRule>
    <cfRule type="cellIs" priority="104" dxfId="1897" operator="greaterThan" stopIfTrue="1">
      <formula>0</formula>
    </cfRule>
  </conditionalFormatting>
  <conditionalFormatting sqref="F51">
    <cfRule type="cellIs" priority="101" dxfId="1896" operator="lessThan" stopIfTrue="1">
      <formula>0</formula>
    </cfRule>
    <cfRule type="cellIs" priority="102" dxfId="1897" operator="greaterThan" stopIfTrue="1">
      <formula>0</formula>
    </cfRule>
  </conditionalFormatting>
  <conditionalFormatting sqref="F51">
    <cfRule type="cellIs" priority="99" dxfId="1896" operator="lessThan" stopIfTrue="1">
      <formula>0</formula>
    </cfRule>
    <cfRule type="cellIs" priority="100" dxfId="1897" operator="greaterThan" stopIfTrue="1">
      <formula>0</formula>
    </cfRule>
  </conditionalFormatting>
  <conditionalFormatting sqref="F41 F43 F29:F30">
    <cfRule type="cellIs" priority="97" dxfId="1896" operator="lessThan" stopIfTrue="1">
      <formula>0</formula>
    </cfRule>
    <cfRule type="cellIs" priority="98" dxfId="1897" operator="greaterThan" stopIfTrue="1">
      <formula>0</formula>
    </cfRule>
  </conditionalFormatting>
  <conditionalFormatting sqref="F30">
    <cfRule type="cellIs" priority="95" dxfId="1896" operator="lessThan" stopIfTrue="1">
      <formula>0</formula>
    </cfRule>
    <cfRule type="cellIs" priority="96" dxfId="1897" operator="greaterThan" stopIfTrue="1">
      <formula>0</formula>
    </cfRule>
  </conditionalFormatting>
  <conditionalFormatting sqref="F30">
    <cfRule type="cellIs" priority="93" dxfId="1896" operator="lessThan" stopIfTrue="1">
      <formula>0</formula>
    </cfRule>
    <cfRule type="cellIs" priority="94" dxfId="1897" operator="greaterThan" stopIfTrue="1">
      <formula>0</formula>
    </cfRule>
  </conditionalFormatting>
  <conditionalFormatting sqref="F30">
    <cfRule type="cellIs" priority="91" dxfId="1896" operator="lessThan" stopIfTrue="1">
      <formula>0</formula>
    </cfRule>
    <cfRule type="cellIs" priority="92" dxfId="1897" operator="greaterThan" stopIfTrue="1">
      <formula>0</formula>
    </cfRule>
  </conditionalFormatting>
  <conditionalFormatting sqref="F30">
    <cfRule type="cellIs" priority="89" dxfId="1896" operator="lessThan" stopIfTrue="1">
      <formula>0</formula>
    </cfRule>
    <cfRule type="cellIs" priority="90" dxfId="1897" operator="greaterThan" stopIfTrue="1">
      <formula>0</formula>
    </cfRule>
  </conditionalFormatting>
  <conditionalFormatting sqref="F30">
    <cfRule type="cellIs" priority="87" dxfId="1896" operator="lessThan" stopIfTrue="1">
      <formula>0</formula>
    </cfRule>
    <cfRule type="cellIs" priority="88" dxfId="1897" operator="greaterThan" stopIfTrue="1">
      <formula>0</formula>
    </cfRule>
  </conditionalFormatting>
  <conditionalFormatting sqref="F30">
    <cfRule type="cellIs" priority="85" dxfId="1896" operator="lessThan" stopIfTrue="1">
      <formula>0</formula>
    </cfRule>
    <cfRule type="cellIs" priority="86" dxfId="1897" operator="greaterThan" stopIfTrue="1">
      <formula>0</formula>
    </cfRule>
  </conditionalFormatting>
  <conditionalFormatting sqref="F30">
    <cfRule type="cellIs" priority="83" dxfId="1896" operator="lessThan" stopIfTrue="1">
      <formula>0</formula>
    </cfRule>
    <cfRule type="cellIs" priority="84" dxfId="1897" operator="greaterThan" stopIfTrue="1">
      <formula>0</formula>
    </cfRule>
  </conditionalFormatting>
  <conditionalFormatting sqref="F30">
    <cfRule type="cellIs" priority="81" dxfId="1896" operator="lessThan" stopIfTrue="1">
      <formula>0</formula>
    </cfRule>
    <cfRule type="cellIs" priority="82" dxfId="1897" operator="greaterThan" stopIfTrue="1">
      <formula>0</formula>
    </cfRule>
  </conditionalFormatting>
  <conditionalFormatting sqref="F30">
    <cfRule type="cellIs" priority="79" dxfId="1896" operator="lessThan" stopIfTrue="1">
      <formula>0</formula>
    </cfRule>
    <cfRule type="cellIs" priority="80" dxfId="1897" operator="greaterThan" stopIfTrue="1">
      <formula>0</formula>
    </cfRule>
  </conditionalFormatting>
  <conditionalFormatting sqref="F51">
    <cfRule type="cellIs" priority="77" dxfId="1896" operator="lessThan" stopIfTrue="1">
      <formula>0</formula>
    </cfRule>
    <cfRule type="cellIs" priority="78" dxfId="1897" operator="greaterThan" stopIfTrue="1">
      <formula>0</formula>
    </cfRule>
  </conditionalFormatting>
  <conditionalFormatting sqref="F51">
    <cfRule type="cellIs" priority="75" dxfId="1896" operator="lessThan" stopIfTrue="1">
      <formula>0</formula>
    </cfRule>
    <cfRule type="cellIs" priority="76" dxfId="1897" operator="greaterThan" stopIfTrue="1">
      <formula>0</formula>
    </cfRule>
  </conditionalFormatting>
  <conditionalFormatting sqref="F51">
    <cfRule type="cellIs" priority="73" dxfId="1896" operator="lessThan" stopIfTrue="1">
      <formula>0</formula>
    </cfRule>
    <cfRule type="cellIs" priority="74" dxfId="1897" operator="greaterThan" stopIfTrue="1">
      <formula>0</formula>
    </cfRule>
  </conditionalFormatting>
  <conditionalFormatting sqref="F51">
    <cfRule type="cellIs" priority="71" dxfId="1896" operator="lessThan" stopIfTrue="1">
      <formula>0</formula>
    </cfRule>
    <cfRule type="cellIs" priority="72" dxfId="1897" operator="greaterThan" stopIfTrue="1">
      <formula>0</formula>
    </cfRule>
  </conditionalFormatting>
  <conditionalFormatting sqref="F41 F43 F29:F30">
    <cfRule type="cellIs" priority="69" dxfId="1896" operator="lessThan" stopIfTrue="1">
      <formula>0</formula>
    </cfRule>
    <cfRule type="cellIs" priority="70" dxfId="1897" operator="greaterThan" stopIfTrue="1">
      <formula>0</formula>
    </cfRule>
  </conditionalFormatting>
  <conditionalFormatting sqref="F30">
    <cfRule type="cellIs" priority="67" dxfId="1896" operator="lessThan" stopIfTrue="1">
      <formula>0</formula>
    </cfRule>
    <cfRule type="cellIs" priority="68" dxfId="1897" operator="greaterThan" stopIfTrue="1">
      <formula>0</formula>
    </cfRule>
  </conditionalFormatting>
  <conditionalFormatting sqref="F30">
    <cfRule type="cellIs" priority="65" dxfId="1896" operator="lessThan" stopIfTrue="1">
      <formula>0</formula>
    </cfRule>
    <cfRule type="cellIs" priority="66" dxfId="1897" operator="greaterThan" stopIfTrue="1">
      <formula>0</formula>
    </cfRule>
  </conditionalFormatting>
  <conditionalFormatting sqref="F30">
    <cfRule type="cellIs" priority="63" dxfId="1896" operator="lessThan" stopIfTrue="1">
      <formula>0</formula>
    </cfRule>
    <cfRule type="cellIs" priority="64" dxfId="1897" operator="greaterThan" stopIfTrue="1">
      <formula>0</formula>
    </cfRule>
  </conditionalFormatting>
  <conditionalFormatting sqref="F30">
    <cfRule type="cellIs" priority="61" dxfId="1896" operator="lessThan" stopIfTrue="1">
      <formula>0</formula>
    </cfRule>
    <cfRule type="cellIs" priority="62" dxfId="1897" operator="greaterThan" stopIfTrue="1">
      <formula>0</formula>
    </cfRule>
  </conditionalFormatting>
  <conditionalFormatting sqref="F30">
    <cfRule type="cellIs" priority="59" dxfId="1896" operator="lessThan" stopIfTrue="1">
      <formula>0</formula>
    </cfRule>
    <cfRule type="cellIs" priority="60" dxfId="1897" operator="greaterThan" stopIfTrue="1">
      <formula>0</formula>
    </cfRule>
  </conditionalFormatting>
  <conditionalFormatting sqref="F30">
    <cfRule type="cellIs" priority="57" dxfId="1896" operator="lessThan" stopIfTrue="1">
      <formula>0</formula>
    </cfRule>
    <cfRule type="cellIs" priority="58" dxfId="1897" operator="greaterThan" stopIfTrue="1">
      <formula>0</formula>
    </cfRule>
  </conditionalFormatting>
  <conditionalFormatting sqref="F30">
    <cfRule type="cellIs" priority="55" dxfId="1896" operator="lessThan" stopIfTrue="1">
      <formula>0</formula>
    </cfRule>
    <cfRule type="cellIs" priority="56" dxfId="1897" operator="greaterThan" stopIfTrue="1">
      <formula>0</formula>
    </cfRule>
  </conditionalFormatting>
  <conditionalFormatting sqref="F30">
    <cfRule type="cellIs" priority="53" dxfId="1896" operator="lessThan" stopIfTrue="1">
      <formula>0</formula>
    </cfRule>
    <cfRule type="cellIs" priority="54" dxfId="1897" operator="greaterThan" stopIfTrue="1">
      <formula>0</formula>
    </cfRule>
  </conditionalFormatting>
  <conditionalFormatting sqref="F30">
    <cfRule type="cellIs" priority="51" dxfId="1896" operator="lessThan" stopIfTrue="1">
      <formula>0</formula>
    </cfRule>
    <cfRule type="cellIs" priority="52" dxfId="1897" operator="greaterThan" stopIfTrue="1">
      <formula>0</formula>
    </cfRule>
  </conditionalFormatting>
  <conditionalFormatting sqref="F51">
    <cfRule type="cellIs" priority="49" dxfId="1896" operator="lessThan" stopIfTrue="1">
      <formula>0</formula>
    </cfRule>
    <cfRule type="cellIs" priority="50" dxfId="1897" operator="greaterThan" stopIfTrue="1">
      <formula>0</formula>
    </cfRule>
  </conditionalFormatting>
  <conditionalFormatting sqref="F51">
    <cfRule type="cellIs" priority="47" dxfId="1896" operator="lessThan" stopIfTrue="1">
      <formula>0</formula>
    </cfRule>
    <cfRule type="cellIs" priority="48" dxfId="1897" operator="greaterThan" stopIfTrue="1">
      <formula>0</formula>
    </cfRule>
  </conditionalFormatting>
  <conditionalFormatting sqref="F51">
    <cfRule type="cellIs" priority="45" dxfId="1896" operator="lessThan" stopIfTrue="1">
      <formula>0</formula>
    </cfRule>
    <cfRule type="cellIs" priority="46" dxfId="1897" operator="greaterThan" stopIfTrue="1">
      <formula>0</formula>
    </cfRule>
  </conditionalFormatting>
  <conditionalFormatting sqref="F41 F43 F29:F30">
    <cfRule type="cellIs" priority="43" dxfId="1896" operator="lessThan" stopIfTrue="1">
      <formula>0</formula>
    </cfRule>
    <cfRule type="cellIs" priority="44" dxfId="1897" operator="greaterThan" stopIfTrue="1">
      <formula>0</formula>
    </cfRule>
  </conditionalFormatting>
  <conditionalFormatting sqref="F30">
    <cfRule type="cellIs" priority="41" dxfId="1896" operator="lessThan" stopIfTrue="1">
      <formula>0</formula>
    </cfRule>
    <cfRule type="cellIs" priority="42" dxfId="1897" operator="greaterThan" stopIfTrue="1">
      <formula>0</formula>
    </cfRule>
  </conditionalFormatting>
  <conditionalFormatting sqref="F30">
    <cfRule type="cellIs" priority="39" dxfId="1896" operator="lessThan" stopIfTrue="1">
      <formula>0</formula>
    </cfRule>
    <cfRule type="cellIs" priority="40" dxfId="1897" operator="greaterThan" stopIfTrue="1">
      <formula>0</formula>
    </cfRule>
  </conditionalFormatting>
  <conditionalFormatting sqref="F30">
    <cfRule type="cellIs" priority="37" dxfId="1896" operator="lessThan" stopIfTrue="1">
      <formula>0</formula>
    </cfRule>
    <cfRule type="cellIs" priority="38" dxfId="1897" operator="greaterThan" stopIfTrue="1">
      <formula>0</formula>
    </cfRule>
  </conditionalFormatting>
  <conditionalFormatting sqref="F30">
    <cfRule type="cellIs" priority="35" dxfId="1896" operator="lessThan" stopIfTrue="1">
      <formula>0</formula>
    </cfRule>
    <cfRule type="cellIs" priority="36" dxfId="1897" operator="greaterThan" stopIfTrue="1">
      <formula>0</formula>
    </cfRule>
  </conditionalFormatting>
  <conditionalFormatting sqref="F30">
    <cfRule type="cellIs" priority="33" dxfId="1896" operator="lessThan" stopIfTrue="1">
      <formula>0</formula>
    </cfRule>
    <cfRule type="cellIs" priority="34" dxfId="1897" operator="greaterThan" stopIfTrue="1">
      <formula>0</formula>
    </cfRule>
  </conditionalFormatting>
  <conditionalFormatting sqref="F30">
    <cfRule type="cellIs" priority="31" dxfId="1896" operator="lessThan" stopIfTrue="1">
      <formula>0</formula>
    </cfRule>
    <cfRule type="cellIs" priority="32" dxfId="1897" operator="greaterThan" stopIfTrue="1">
      <formula>0</formula>
    </cfRule>
  </conditionalFormatting>
  <conditionalFormatting sqref="F30">
    <cfRule type="cellIs" priority="29" dxfId="1896" operator="lessThan" stopIfTrue="1">
      <formula>0</formula>
    </cfRule>
    <cfRule type="cellIs" priority="30" dxfId="1897" operator="greaterThan" stopIfTrue="1">
      <formula>0</formula>
    </cfRule>
  </conditionalFormatting>
  <conditionalFormatting sqref="F30">
    <cfRule type="cellIs" priority="27" dxfId="1896" operator="lessThan" stopIfTrue="1">
      <formula>0</formula>
    </cfRule>
    <cfRule type="cellIs" priority="28" dxfId="1897" operator="greaterThan" stopIfTrue="1">
      <formula>0</formula>
    </cfRule>
  </conditionalFormatting>
  <conditionalFormatting sqref="F30">
    <cfRule type="cellIs" priority="25" dxfId="1896" operator="lessThan" stopIfTrue="1">
      <formula>0</formula>
    </cfRule>
    <cfRule type="cellIs" priority="26" dxfId="1897" operator="greaterThan" stopIfTrue="1">
      <formula>0</formula>
    </cfRule>
  </conditionalFormatting>
  <conditionalFormatting sqref="F51">
    <cfRule type="cellIs" priority="23" dxfId="1896" operator="lessThan" stopIfTrue="1">
      <formula>0</formula>
    </cfRule>
    <cfRule type="cellIs" priority="24" dxfId="1897" operator="greaterThan" stopIfTrue="1">
      <formula>0</formula>
    </cfRule>
  </conditionalFormatting>
  <conditionalFormatting sqref="F51">
    <cfRule type="cellIs" priority="21" dxfId="1896" operator="lessThan" stopIfTrue="1">
      <formula>0</formula>
    </cfRule>
    <cfRule type="cellIs" priority="22" dxfId="1897" operator="greaterThan" stopIfTrue="1">
      <formula>0</formula>
    </cfRule>
  </conditionalFormatting>
  <conditionalFormatting sqref="F41 F43 F29:F30">
    <cfRule type="cellIs" priority="19" dxfId="1896" operator="lessThan" stopIfTrue="1">
      <formula>0</formula>
    </cfRule>
    <cfRule type="cellIs" priority="20" dxfId="1897" operator="greaterThan" stopIfTrue="1">
      <formula>0</formula>
    </cfRule>
  </conditionalFormatting>
  <conditionalFormatting sqref="F30">
    <cfRule type="cellIs" priority="17" dxfId="1896" operator="lessThan" stopIfTrue="1">
      <formula>0</formula>
    </cfRule>
    <cfRule type="cellIs" priority="18" dxfId="1897" operator="greaterThan" stopIfTrue="1">
      <formula>0</formula>
    </cfRule>
  </conditionalFormatting>
  <conditionalFormatting sqref="F30">
    <cfRule type="cellIs" priority="15" dxfId="1896" operator="lessThan" stopIfTrue="1">
      <formula>0</formula>
    </cfRule>
    <cfRule type="cellIs" priority="16" dxfId="1897" operator="greaterThan" stopIfTrue="1">
      <formula>0</formula>
    </cfRule>
  </conditionalFormatting>
  <conditionalFormatting sqref="F30">
    <cfRule type="cellIs" priority="13" dxfId="1896" operator="lessThan" stopIfTrue="1">
      <formula>0</formula>
    </cfRule>
    <cfRule type="cellIs" priority="14" dxfId="1897" operator="greaterThan" stopIfTrue="1">
      <formula>0</formula>
    </cfRule>
  </conditionalFormatting>
  <conditionalFormatting sqref="F30">
    <cfRule type="cellIs" priority="11" dxfId="1896" operator="lessThan" stopIfTrue="1">
      <formula>0</formula>
    </cfRule>
    <cfRule type="cellIs" priority="12" dxfId="1897" operator="greaterThan" stopIfTrue="1">
      <formula>0</formula>
    </cfRule>
  </conditionalFormatting>
  <conditionalFormatting sqref="F30">
    <cfRule type="cellIs" priority="9" dxfId="1896" operator="lessThan" stopIfTrue="1">
      <formula>0</formula>
    </cfRule>
    <cfRule type="cellIs" priority="10" dxfId="1897" operator="greaterThan" stopIfTrue="1">
      <formula>0</formula>
    </cfRule>
  </conditionalFormatting>
  <conditionalFormatting sqref="F30">
    <cfRule type="cellIs" priority="7" dxfId="1896" operator="lessThan" stopIfTrue="1">
      <formula>0</formula>
    </cfRule>
    <cfRule type="cellIs" priority="8" dxfId="1897" operator="greaterThan" stopIfTrue="1">
      <formula>0</formula>
    </cfRule>
  </conditionalFormatting>
  <conditionalFormatting sqref="F30">
    <cfRule type="cellIs" priority="5" dxfId="1896" operator="lessThan" stopIfTrue="1">
      <formula>0</formula>
    </cfRule>
    <cfRule type="cellIs" priority="6" dxfId="1897" operator="greaterThan" stopIfTrue="1">
      <formula>0</formula>
    </cfRule>
  </conditionalFormatting>
  <conditionalFormatting sqref="F30">
    <cfRule type="cellIs" priority="3" dxfId="1896" operator="lessThan" stopIfTrue="1">
      <formula>0</formula>
    </cfRule>
    <cfRule type="cellIs" priority="4" dxfId="1897" operator="greaterThan" stopIfTrue="1">
      <formula>0</formula>
    </cfRule>
  </conditionalFormatting>
  <conditionalFormatting sqref="F30">
    <cfRule type="cellIs" priority="1" dxfId="1896" operator="lessThan" stopIfTrue="1">
      <formula>0</formula>
    </cfRule>
    <cfRule type="cellIs" priority="2" dxfId="1897" operator="greaterThan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82" r:id="rId1"/>
  <ignoredErrors>
    <ignoredError sqref="D21" formula="1"/>
    <ignoredError sqref="D22:D24" formula="1" unlockedFormula="1"/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partiel</dc:title>
  <dc:subject>projet cega</dc:subject>
  <dc:creator>Gilles Cadotte agret Joseph Gary Cadet</dc:creator>
  <cp:keywords>budget partiel  investissement , main d'oeuvre</cp:keywords>
  <dc:description>évaluation des investissements pour accroître l'efficacité de la Main d'oeuvre</dc:description>
  <cp:lastModifiedBy>lucie smith</cp:lastModifiedBy>
  <cp:lastPrinted>2012-11-14T15:35:36Z</cp:lastPrinted>
  <dcterms:created xsi:type="dcterms:W3CDTF">2011-07-28T14:12:18Z</dcterms:created>
  <dcterms:modified xsi:type="dcterms:W3CDTF">2013-02-14T18:24:07Z</dcterms:modified>
  <cp:category>gestion</cp:category>
  <cp:version/>
  <cp:contentType/>
  <cp:contentStatus/>
</cp:coreProperties>
</file>