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9765" tabRatio="719" activeTab="0"/>
  </bookViews>
  <sheets>
    <sheet name="Notes" sheetId="1" r:id="rId1"/>
    <sheet name="1-Calculs-équivalences" sheetId="2" r:id="rId2"/>
    <sheet name="2-Coûts des combustibles" sheetId="3" r:id="rId3"/>
    <sheet name="3-Frais de fonctionnement" sheetId="4" r:id="rId4"/>
    <sheet name="4-Investissents" sheetId="5" r:id="rId5"/>
    <sheet name="5-Évaluation économique" sheetId="6" r:id="rId6"/>
    <sheet name="6-PCS et PCI" sheetId="7" r:id="rId7"/>
    <sheet name="Références" sheetId="8" r:id="rId8"/>
  </sheets>
  <definedNames>
    <definedName name="_xlfn.IFERROR" hidden="1">#NAME?</definedName>
    <definedName name="_xlnm.Print_Area" localSheetId="1">'1-Calculs-équivalences'!$B$2:$F$23</definedName>
    <definedName name="_xlnm.Print_Area" localSheetId="2">'2-Coûts des combustibles'!$B$3:$D$23</definedName>
    <definedName name="_xlnm.Print_Area" localSheetId="3">'3-Frais de fonctionnement'!$B$3:$J$28</definedName>
    <definedName name="_xlnm.Print_Area" localSheetId="6">'6-PCS et PCI'!$B$3:$G$41</definedName>
  </definedNames>
  <calcPr fullCalcOnLoad="1"/>
</workbook>
</file>

<file path=xl/comments3.xml><?xml version="1.0" encoding="utf-8"?>
<comments xmlns="http://schemas.openxmlformats.org/spreadsheetml/2006/main">
  <authors>
    <author>CIDES inc. - Marco Girouard, ing. #OIQ 108 653</author>
  </authors>
  <commentList>
    <comment ref="C10" authorId="0">
      <text>
        <r>
          <rPr>
            <b/>
            <sz val="9"/>
            <rFont val="Tahoma"/>
            <family val="2"/>
          </rPr>
          <t>Valeur basée sur le PCS et l'efficacité du système de chauffe (valeur standard)</t>
        </r>
      </text>
    </comment>
  </commentList>
</comments>
</file>

<file path=xl/comments5.xml><?xml version="1.0" encoding="utf-8"?>
<comments xmlns="http://schemas.openxmlformats.org/spreadsheetml/2006/main">
  <authors>
    <author>Gilles</author>
  </authors>
  <commentList>
    <comment ref="F9" authorId="0">
      <text>
        <r>
          <rPr>
            <sz val="9"/>
            <rFont val="Tahoma"/>
            <family val="2"/>
          </rPr>
          <t xml:space="preserve">
plancher de ciment et abri
</t>
        </r>
      </text>
    </comment>
    <comment ref="D5" authorId="0">
      <text>
        <r>
          <rPr>
            <sz val="9"/>
            <rFont val="Tahoma"/>
            <family val="2"/>
          </rPr>
          <t xml:space="preserve">
=22*10,76*'coûts des combustibles'!D3/1000</t>
        </r>
      </text>
    </comment>
    <comment ref="N14" authorId="0">
      <text>
        <r>
          <rPr>
            <sz val="9"/>
            <rFont val="Tahoma"/>
            <family val="2"/>
          </rPr>
          <t xml:space="preserve">
autonomie en fonction de la puissance à 80%
</t>
        </r>
      </text>
    </comment>
    <comment ref="F12" authorId="0">
      <text>
        <r>
          <rPr>
            <sz val="9"/>
            <rFont val="Tahoma"/>
            <family val="2"/>
          </rPr>
          <t xml:space="preserve">
prix d'entrée biomasse humide 20 000 $
ce qui est au-dessus = 2 fois moins cher</t>
        </r>
      </text>
    </comment>
    <comment ref="E9" authorId="0">
      <text>
        <r>
          <rPr>
            <sz val="9"/>
            <rFont val="Tahoma"/>
            <family val="2"/>
          </rPr>
          <t xml:space="preserve">
.8 tonnes par m² (3 mètres de haut) selon la hauteur et 80% du besoin total de combustible
</t>
        </r>
      </text>
    </comment>
  </commentList>
</comments>
</file>

<file path=xl/sharedStrings.xml><?xml version="1.0" encoding="utf-8"?>
<sst xmlns="http://schemas.openxmlformats.org/spreadsheetml/2006/main" count="527" uniqueCount="350">
  <si>
    <t xml:space="preserve">Propane </t>
  </si>
  <si>
    <t>Mazout et huile usée</t>
  </si>
  <si>
    <t>Gaz naturel</t>
  </si>
  <si>
    <t>1 litre</t>
  </si>
  <si>
    <t>1 m³</t>
  </si>
  <si>
    <t>Quantité de combustible fossile</t>
  </si>
  <si>
    <t>* essences à bois dur</t>
  </si>
  <si>
    <t>*** 2% de cendres sur une base de 100 %  de matière sèche</t>
  </si>
  <si>
    <t>Auteurs</t>
  </si>
  <si>
    <t>Titre</t>
  </si>
  <si>
    <t>Référence ou lien</t>
  </si>
  <si>
    <t>Raymond J Albrecht</t>
  </si>
  <si>
    <t>Technical and Economic Sizing Considerations for Commercial and Industrial Wood‐fired Boiler Systems</t>
  </si>
  <si>
    <t>http://heatne.com/pdfs/2012/keyPrinciples/albrecht_boiler.pdf</t>
  </si>
  <si>
    <t>Biomass Heating: Apratical guide for potentiel users</t>
  </si>
  <si>
    <t>Carbon Trust</t>
  </si>
  <si>
    <t>http://www.carbontrust.com/media/31667/ctg012_biomass_heating.pdf</t>
  </si>
  <si>
    <t>Ademe</t>
  </si>
  <si>
    <t>Mise en place d'une chaufferie au bois</t>
  </si>
  <si>
    <t>http://www2.ademe.fr/servlet/getDoc?sort=-1&amp;cid=96&amp;m=3&amp;id=42376&amp;ref=&amp;nocache=yes&amp;p1=111</t>
  </si>
  <si>
    <t>m²</t>
  </si>
  <si>
    <t>litres/m²/an</t>
  </si>
  <si>
    <t xml:space="preserve">Consommation annuelle </t>
  </si>
  <si>
    <t>litres/an</t>
  </si>
  <si>
    <t>Mazout</t>
  </si>
  <si>
    <t>Consommation annuellle</t>
  </si>
  <si>
    <t>Prix anticipé  combustible $/unité</t>
  </si>
  <si>
    <t>Dépenses annuelles pour le combustible</t>
  </si>
  <si>
    <t>Economies anticipées</t>
  </si>
  <si>
    <t>Calcul de la consommation normalisée de combustible</t>
  </si>
  <si>
    <t>Dépenses annuelles pour le combustible $/m²</t>
  </si>
  <si>
    <t>Economies anticipées $/m²</t>
  </si>
  <si>
    <t xml:space="preserve">biomasse </t>
  </si>
  <si>
    <t>fossile</t>
  </si>
  <si>
    <t>Électricité</t>
  </si>
  <si>
    <t>$</t>
  </si>
  <si>
    <t>$/tonne</t>
  </si>
  <si>
    <t>$/h</t>
  </si>
  <si>
    <t>http://www2.ademe.fr/servlet/getDoc?cid=96&amp;m=3&amp;id=82628&amp;p1=30&amp;ref=12441#</t>
  </si>
  <si>
    <t xml:space="preserve">kwh /100kWh </t>
  </si>
  <si>
    <t>kWh</t>
  </si>
  <si>
    <t>Biomasse</t>
  </si>
  <si>
    <t>Combustible</t>
  </si>
  <si>
    <t>Différence</t>
  </si>
  <si>
    <t>Énergie net de chauffe</t>
  </si>
  <si>
    <t xml:space="preserve">Consommation </t>
  </si>
  <si>
    <t>Unité</t>
  </si>
  <si>
    <t>Item</t>
  </si>
  <si>
    <t>$/1 000 litres</t>
  </si>
  <si>
    <t>Données entrées</t>
  </si>
  <si>
    <t>CIDES</t>
  </si>
  <si>
    <t>SPSQ</t>
  </si>
  <si>
    <t>http://www.spsq.info/spsq_fichiers/files/fiche_demarche_biomasse.pdf</t>
  </si>
  <si>
    <t>http://www.spsq.info/spsq_fichiers/files/fiche_approvisionnement_biomasse.pdf</t>
  </si>
  <si>
    <t>http://www.spsq.info/spsq_fichiers/files/fiche_technique_biomasse.pdf</t>
  </si>
  <si>
    <t>Tarif électricité</t>
  </si>
  <si>
    <t>Semaines d'opération</t>
  </si>
  <si>
    <t>#</t>
  </si>
  <si>
    <t>mazout</t>
  </si>
  <si>
    <t>Tableau 3</t>
  </si>
  <si>
    <t>Tableau 4</t>
  </si>
  <si>
    <t>$ total</t>
  </si>
  <si>
    <t>Entretien et réparations en fonction de l'investissement</t>
  </si>
  <si>
    <t>$/m²</t>
  </si>
  <si>
    <t>• Entrepôt de la biomasse</t>
  </si>
  <si>
    <t>Adaptation d'un bâtiment</t>
  </si>
  <si>
    <t xml:space="preserve">% </t>
  </si>
  <si>
    <t>du total</t>
  </si>
  <si>
    <t>Ministère des Ressources Naturelles et de la faune  du Québec</t>
  </si>
  <si>
    <t>Programme de réduction de consommation de mazout lourd</t>
  </si>
  <si>
    <t>http://www.efficaciteenergetique.mrnf.gouv.qc.ca/clientele-affaires/industries/programmes-et-aide-financiere-destines-aux-industries/programme-de-reduction-de-consommation-de-mazout-lourd/</t>
  </si>
  <si>
    <t>Ministère des Ressources Naturelles et de la faune du Québec</t>
  </si>
  <si>
    <t>Programme de démonstration des technologies vertes visant la réduction des émissions de gaz à effet de serre</t>
  </si>
  <si>
    <t>http://www.efficaciteenergetique.mrnf.gouv.qc.ca/innovation-technologique/technoclimat/#c461</t>
  </si>
  <si>
    <t>MAPAQ</t>
  </si>
  <si>
    <t>Prime-Vert : programme de soutien financier : volet Projets d’envergure pour la réduction des émissions de gaz à effet de serre</t>
  </si>
  <si>
    <t>http://www4.gouv.qc.ca/FR/Portail/Citoyens/programme-service/Pages/Info.aspx?sqctype=sujet&amp;sqcid=1411</t>
  </si>
  <si>
    <t>Références</t>
  </si>
  <si>
    <t>Copeaux</t>
  </si>
  <si>
    <t>* par m² de superficie chauffée</t>
  </si>
  <si>
    <t>Biomasse forestière et bioénergie</t>
  </si>
  <si>
    <t>ftp://ftp.fao.org/docrep/fao/009/j6439f/j6439f06.pdf</t>
  </si>
  <si>
    <t>5. Paramètres, unités et facteurs de conversion</t>
  </si>
  <si>
    <t>FAO</t>
  </si>
  <si>
    <t>Réf.# 3</t>
  </si>
  <si>
    <t>%</t>
  </si>
  <si>
    <t>Projet</t>
  </si>
  <si>
    <t># d'unités</t>
  </si>
  <si>
    <t>Litres</t>
  </si>
  <si>
    <t>Adaptation au système d'appoint</t>
  </si>
  <si>
    <t>$/litre</t>
  </si>
  <si>
    <t>L/kW</t>
  </si>
  <si>
    <t>L/m²</t>
  </si>
  <si>
    <t>Durée de vie utile anticipée</t>
  </si>
  <si>
    <t>kW</t>
  </si>
  <si>
    <t>$/kW</t>
  </si>
  <si>
    <t>$/kWh</t>
  </si>
  <si>
    <t>• Système d'alimentation</t>
  </si>
  <si>
    <t>Mécanique d'alimentation</t>
  </si>
  <si>
    <t>Tonnes</t>
  </si>
  <si>
    <t>tonnes</t>
  </si>
  <si>
    <t>Réserve d'alimentation</t>
  </si>
  <si>
    <t>*</t>
  </si>
  <si>
    <t>$/an</t>
  </si>
  <si>
    <t>• Chaudière à la biomasse</t>
  </si>
  <si>
    <t>Achat et installation</t>
  </si>
  <si>
    <t>Électricité et autres contingences</t>
  </si>
  <si>
    <t>W/m²</t>
  </si>
  <si>
    <t>Permis et autres</t>
  </si>
  <si>
    <t>• Services professionnels et autres</t>
  </si>
  <si>
    <t>• Bâtiment chaufferie</t>
  </si>
  <si>
    <t>Adaptation du bâtiment</t>
  </si>
  <si>
    <t>• Réseau hydronique</t>
  </si>
  <si>
    <t>Adaptation du système présent</t>
  </si>
  <si>
    <t>Nouveau système</t>
  </si>
  <si>
    <t>Traitement d'eau (réservoir)</t>
  </si>
  <si>
    <t>Nouveau bâtiment</t>
  </si>
  <si>
    <t xml:space="preserve">Coût moyen </t>
  </si>
  <si>
    <t>ans</t>
  </si>
  <si>
    <t>vie utile</t>
  </si>
  <si>
    <t>Repères techniques</t>
  </si>
  <si>
    <t>Frais d'entretien et de réparations</t>
  </si>
  <si>
    <t>Total $</t>
  </si>
  <si>
    <t>Coût/unité</t>
  </si>
  <si>
    <t>Adaptation au système en place</t>
  </si>
  <si>
    <t>Sommation sans #8</t>
  </si>
  <si>
    <t>Superficie chauffée</t>
  </si>
  <si>
    <t xml:space="preserve">  Subventions </t>
  </si>
  <si>
    <t xml:space="preserve">  Investissement </t>
  </si>
  <si>
    <t xml:space="preserve"> </t>
  </si>
  <si>
    <t>Coûts après subvention</t>
  </si>
  <si>
    <r>
      <rPr>
        <b/>
        <sz val="11"/>
        <color indexed="8"/>
        <rFont val="Calibri"/>
        <family val="2"/>
      </rPr>
      <t>PRI sans</t>
    </r>
    <r>
      <rPr>
        <sz val="11"/>
        <color theme="1"/>
        <rFont val="Calibri"/>
        <family val="2"/>
      </rPr>
      <t xml:space="preserve"> subvention (ans)</t>
    </r>
  </si>
  <si>
    <t>$/an/m²</t>
  </si>
  <si>
    <t>Amortissement sans subvention</t>
  </si>
  <si>
    <t>Total</t>
  </si>
  <si>
    <t>Coût réel par kWh net de chauffe</t>
  </si>
  <si>
    <t>Ventes de la culture en serre</t>
  </si>
  <si>
    <t>Montant de l'emprunt</t>
  </si>
  <si>
    <t>% du montant investi emprunté</t>
  </si>
  <si>
    <t>Montant du paiement</t>
  </si>
  <si>
    <t>Facteur de conversion pour les combustibles en MJ</t>
  </si>
  <si>
    <t>Pouvoir calorique supérieur (PCS)</t>
  </si>
  <si>
    <t>PCS</t>
  </si>
  <si>
    <t>PCI</t>
  </si>
  <si>
    <t>MJ/unité</t>
  </si>
  <si>
    <t>m³</t>
  </si>
  <si>
    <t>Mazout léger no. 2</t>
  </si>
  <si>
    <t>L</t>
  </si>
  <si>
    <t>Mazout lourd (no. 5 et no. 6)</t>
  </si>
  <si>
    <t>Propane</t>
  </si>
  <si>
    <t>kg</t>
  </si>
  <si>
    <t>PCI = PCS - 5% (produits pétroliers)</t>
  </si>
  <si>
    <t>PCI = PCS - 6% à 7% (biomasse)</t>
  </si>
  <si>
    <t>PCI/PCS #6 Fuel Oil = 0,950 - Source : www.chpcentermw.org</t>
  </si>
  <si>
    <t>PCI/PCS #2 Fuel Oil = 0,940 - Source : www.chpcentermw.org</t>
  </si>
  <si>
    <t>PCI/PCS Propane = 0,920 - Source : www.chpcentermw.org</t>
  </si>
  <si>
    <t xml:space="preserve">De façon simplifiée, le PCI peut s'évaluer de la façon suivante : </t>
  </si>
  <si>
    <t>Taux d'humidité %</t>
  </si>
  <si>
    <r>
      <t>PCS</t>
    </r>
    <r>
      <rPr>
        <b/>
        <vertAlign val="subscript"/>
        <sz val="10"/>
        <color indexed="8"/>
        <rFont val="Calibri"/>
        <family val="2"/>
      </rPr>
      <t>ANHYDRE</t>
    </r>
  </si>
  <si>
    <t xml:space="preserve">Hydrogène </t>
  </si>
  <si>
    <r>
      <t>PCS</t>
    </r>
    <r>
      <rPr>
        <b/>
        <vertAlign val="subscript"/>
        <sz val="10"/>
        <color indexed="8"/>
        <rFont val="Calibri"/>
        <family val="2"/>
      </rPr>
      <t>HUMIDE</t>
    </r>
  </si>
  <si>
    <t>MJ/kg</t>
  </si>
  <si>
    <r>
      <t>PCI</t>
    </r>
    <r>
      <rPr>
        <b/>
        <vertAlign val="subscript"/>
        <sz val="10"/>
        <color indexed="8"/>
        <rFont val="Calibri"/>
        <family val="2"/>
      </rPr>
      <t>HUMIDE</t>
    </r>
  </si>
  <si>
    <t>Effet du taux d'humidité de la biomasse sur l'énergie disponible*</t>
  </si>
  <si>
    <t>PCI/PCS = 0,90 - Taux de conversion utilisé par Gaz Métro</t>
  </si>
  <si>
    <t>MJ/L</t>
  </si>
  <si>
    <t>** 1% de cendres sur une base de 100 %  de matière sèche</t>
  </si>
  <si>
    <t>$ /m² *</t>
  </si>
  <si>
    <t>Quantité de biomasse forrestière *</t>
  </si>
  <si>
    <t>30 % humidité ***</t>
  </si>
  <si>
    <t>10 % humidité **</t>
  </si>
  <si>
    <t>Autonomie *</t>
  </si>
  <si>
    <t>• Système de contrôle &amp; de gestion</t>
  </si>
  <si>
    <r>
      <rPr>
        <b/>
        <sz val="11"/>
        <color indexed="8"/>
        <rFont val="Calibri"/>
        <family val="2"/>
      </rPr>
      <t xml:space="preserve">PRI avec </t>
    </r>
    <r>
      <rPr>
        <sz val="11"/>
        <color theme="1"/>
        <rFont val="Calibri"/>
        <family val="2"/>
      </rPr>
      <t>subvention (ans)</t>
    </r>
  </si>
  <si>
    <t>amortissement</t>
  </si>
  <si>
    <t>Efficacité du système de chauffe (génération et distribution)</t>
  </si>
  <si>
    <t>Biomasse =</t>
  </si>
  <si>
    <t>Contenue énergétique (référence : voir l'onglet 7-PCS et PCI)</t>
  </si>
  <si>
    <t>A - Mazout et huile usée vs Biomasse 10 % humidité</t>
  </si>
  <si>
    <t>B - Mazout et huile usée - Biomasse 30 % humidité</t>
  </si>
  <si>
    <t>Mazout et huile usée =</t>
  </si>
  <si>
    <t>Gaz naturel =</t>
  </si>
  <si>
    <t>Chaleur latente</t>
  </si>
  <si>
    <t>Chaleur latente/PCS</t>
  </si>
  <si>
    <t>Pouvoir calorique inférieur (PCI) = PCS moins chaleur latente de la vapeur d'eau dégagée lors de la combustion</t>
  </si>
  <si>
    <t>C - Gaz naturel (système régulier) - Biomasse 10 % humidité</t>
  </si>
  <si>
    <t>D - Gaz naturel (système régulier) - Biomasse 30 % humidité</t>
  </si>
  <si>
    <t>E - Propane (système régulier) - Biomasse 10 % humidité</t>
  </si>
  <si>
    <t>F - Propane (système régulier) - Biomasse 30 % humidité</t>
  </si>
  <si>
    <t>Huile usée</t>
  </si>
  <si>
    <t xml:space="preserve">Ancien combustible : </t>
  </si>
  <si>
    <t xml:space="preserve">Nouveau combustible : </t>
  </si>
  <si>
    <t xml:space="preserve">Récupération chaleur latente : </t>
  </si>
  <si>
    <t>OUI</t>
  </si>
  <si>
    <t>NON</t>
  </si>
  <si>
    <t xml:space="preserve">Pouvoir calorifique : </t>
  </si>
  <si>
    <t xml:space="preserve">Taux efficacité : </t>
  </si>
  <si>
    <t>Pour « Autre combustible » :</t>
  </si>
  <si>
    <t>tonne métrique</t>
  </si>
  <si>
    <t>Diff. PCS vs PCI</t>
  </si>
  <si>
    <t>% *</t>
  </si>
  <si>
    <t>* De façon simplifiée : 5 % pour les produits pétroliers, 6 % à 7 % pour la biomasse.</t>
  </si>
  <si>
    <t>Pour « Biomasse » :</t>
  </si>
  <si>
    <r>
      <t>PCI</t>
    </r>
    <r>
      <rPr>
        <vertAlign val="subscript"/>
        <sz val="10"/>
        <color indexed="8"/>
        <rFont val="Calibri"/>
        <family val="2"/>
      </rPr>
      <t>MAZOUT.HUILE.USÉE</t>
    </r>
    <r>
      <rPr>
        <sz val="10"/>
        <color indexed="8"/>
        <rFont val="Calibri"/>
        <family val="2"/>
      </rPr>
      <t xml:space="preserve"> =</t>
    </r>
  </si>
  <si>
    <r>
      <t>PCI</t>
    </r>
    <r>
      <rPr>
        <vertAlign val="subscript"/>
        <sz val="10"/>
        <color indexed="8"/>
        <rFont val="Calibri"/>
        <family val="2"/>
      </rPr>
      <t>HUMIDE.10%</t>
    </r>
    <r>
      <rPr>
        <sz val="10"/>
        <color indexed="8"/>
        <rFont val="Calibri"/>
        <family val="2"/>
      </rPr>
      <t xml:space="preserve"> =</t>
    </r>
  </si>
  <si>
    <r>
      <t>PCI</t>
    </r>
    <r>
      <rPr>
        <vertAlign val="subscript"/>
        <sz val="10"/>
        <color indexed="8"/>
        <rFont val="Calibri"/>
        <family val="2"/>
      </rPr>
      <t>HUMIDE.30%</t>
    </r>
    <r>
      <rPr>
        <sz val="10"/>
        <color indexed="8"/>
        <rFont val="Calibri"/>
        <family val="2"/>
      </rPr>
      <t xml:space="preserve"> =</t>
    </r>
  </si>
  <si>
    <r>
      <t>PCI</t>
    </r>
    <r>
      <rPr>
        <vertAlign val="subscript"/>
        <sz val="10"/>
        <color indexed="8"/>
        <rFont val="Calibri"/>
        <family val="2"/>
      </rPr>
      <t>GAZ.NATUREL</t>
    </r>
    <r>
      <rPr>
        <sz val="10"/>
        <color indexed="8"/>
        <rFont val="Calibri"/>
        <family val="2"/>
      </rPr>
      <t xml:space="preserve"> =</t>
    </r>
  </si>
  <si>
    <t>(5,25 % à 5,95 %)</t>
  </si>
  <si>
    <t>Biomasse #A</t>
  </si>
  <si>
    <t>Biomasse #B</t>
  </si>
  <si>
    <t>Autre #A</t>
  </si>
  <si>
    <t>Autre #B</t>
  </si>
  <si>
    <t>←</t>
  </si>
  <si>
    <t xml:space="preserve">Gaz naturel : </t>
  </si>
  <si>
    <t xml:space="preserve">Mazout léger no. 2 : </t>
  </si>
  <si>
    <t xml:space="preserve">Mazout lourd (no. 5 et no. 6) : </t>
  </si>
  <si>
    <t xml:space="preserve">Propane : </t>
  </si>
  <si>
    <r>
      <t>PCI</t>
    </r>
    <r>
      <rPr>
        <vertAlign val="subscript"/>
        <sz val="10"/>
        <color indexed="8"/>
        <rFont val="Calibri"/>
        <family val="2"/>
      </rPr>
      <t>PROPANE</t>
    </r>
    <r>
      <rPr>
        <sz val="10"/>
        <color indexed="8"/>
        <rFont val="Calibri"/>
        <family val="2"/>
      </rPr>
      <t xml:space="preserve"> =</t>
    </r>
  </si>
  <si>
    <t>Propane =</t>
  </si>
  <si>
    <r>
      <rPr>
        <b/>
        <sz val="10"/>
        <color indexed="8"/>
        <rFont val="Calibri"/>
        <family val="2"/>
      </rPr>
      <t xml:space="preserve">Notes : </t>
    </r>
    <r>
      <rPr>
        <sz val="10"/>
        <color indexed="8"/>
        <rFont val="Calibri"/>
        <family val="2"/>
      </rPr>
      <t xml:space="preserve">
Si le système de chauffe d'un combustible récupère la chaleur latente (chaleur contenue dans les fumées et évacuée par la cheminée), alors il est préférable de prendre le PCS</t>
    </r>
    <r>
      <rPr>
        <vertAlign val="subscript"/>
        <sz val="10"/>
        <color indexed="8"/>
        <rFont val="Calibri"/>
        <family val="2"/>
      </rPr>
      <t>COMBUSTIBLE</t>
    </r>
    <r>
      <rPr>
        <sz val="10"/>
        <color indexed="8"/>
        <rFont val="Calibri"/>
        <family val="2"/>
      </rPr>
      <t xml:space="preserve"> au lieu du PCI</t>
    </r>
    <r>
      <rPr>
        <vertAlign val="subscript"/>
        <sz val="10"/>
        <color indexed="8"/>
        <rFont val="Calibri"/>
        <family val="2"/>
      </rPr>
      <t>COMBUSTIBLE</t>
    </r>
    <r>
      <rPr>
        <sz val="10"/>
        <color indexed="8"/>
        <rFont val="Calibri"/>
        <family val="2"/>
      </rPr>
      <t>. 
Au moment de la rédaction de la fiche, seules les chaudières à condensation au gaz naturel ou encore au propane étaient intéressantes pour récupérer la chaleur latente. 
Le taux d'efficacité d'un système de chauffe est le rapport entre l'énergie transférée dans la serre (chaleur) et l'énergie disponible et consommée d'un combustible sur une base annuelle.</t>
    </r>
  </si>
  <si>
    <t>Taux d'humidité</t>
  </si>
  <si>
    <t>Outils pour trouver les équivalences : ancien système vs nouveau système (à titre d'information seulement)</t>
  </si>
  <si>
    <t>*Les valeurs du tableau sont fonction du test de laboratoire PCS anhydre et du  taux d'hydrogène telles qu'entrées ci-dessous:</t>
  </si>
  <si>
    <t>Encadrés en références pour le Tableau 1.</t>
  </si>
  <si>
    <t>**</t>
  </si>
  <si>
    <t>***</t>
  </si>
  <si>
    <t>Taux de substitution*: kg de biomasse par litre</t>
  </si>
  <si>
    <r>
      <t xml:space="preserve">* La valeur provient du tableau 1. de l'onglet </t>
    </r>
    <r>
      <rPr>
        <i/>
        <sz val="10"/>
        <color indexed="8"/>
        <rFont val="Calibri"/>
        <family val="2"/>
      </rPr>
      <t>1-Calculs-équivalences</t>
    </r>
  </si>
  <si>
    <t>Les valeurs du tableau 1 proviennent des données utilisées et présentées dans les encadrés A, B, C, D, E, F. Également ces valeurs sont déduites à partir des données entrées dans les cellules ombragés C38 et C39 de l'onglet 6-PCS et PCI.
Le lecteur trouvera plus bas un outil pour estimer les équivalences.</t>
  </si>
  <si>
    <t>www.dgr.ca/ppt/Biomasse_forestiere_et_Bioenergie.pps</t>
  </si>
  <si>
    <t xml:space="preserve">Michel Lachance </t>
  </si>
  <si>
    <t>Massachusetts Division of Energy Resources</t>
  </si>
  <si>
    <t>Wood pellet heating guide book</t>
  </si>
  <si>
    <t>http://www.biomasscenter.org/pdfs/DOER_Pellet_Guidebook.pdf</t>
  </si>
  <si>
    <t>Total des intérêts payés</t>
  </si>
  <si>
    <r>
      <t xml:space="preserve">Notes sur le fonctionnement de la feuille </t>
    </r>
    <r>
      <rPr>
        <b/>
        <i/>
        <sz val="12"/>
        <color indexed="8"/>
        <rFont val="Calibri"/>
        <family val="2"/>
      </rPr>
      <t>Calculs des éléments économiques d'un projet de chauffage à la biomasse</t>
    </r>
  </si>
  <si>
    <r>
      <t xml:space="preserve">L'onglet </t>
    </r>
    <r>
      <rPr>
        <b/>
        <i/>
        <sz val="11"/>
        <color indexed="8"/>
        <rFont val="Calibri"/>
        <family val="2"/>
      </rPr>
      <t>Références</t>
    </r>
    <r>
      <rPr>
        <sz val="11"/>
        <color theme="1"/>
        <rFont val="Calibri"/>
        <family val="2"/>
      </rPr>
      <t xml:space="preserve"> vous donne accès à différents liens pour de l'information relative au chauffage à la biomasse.</t>
    </r>
  </si>
  <si>
    <t>1-Calculs-équivalences</t>
  </si>
  <si>
    <t>2-Coûts des combustibles</t>
  </si>
  <si>
    <t>4-Investissents</t>
  </si>
  <si>
    <t>5-Évaluation économique</t>
  </si>
  <si>
    <t>6-PCS et PCI</t>
  </si>
  <si>
    <t>- Outils pour trouver les équivalences : ancien système vs nouveau système (à titre d'information seulement)</t>
  </si>
  <si>
    <t>X</t>
  </si>
  <si>
    <t>Cliquez la cellule en jaune pour retourner à l'onglet « Notes »</t>
  </si>
  <si>
    <t>Le lecteur peut cliquer le titre des sections ci-dessous pour arriver directement à la feuille d'Excel désirée.</t>
  </si>
  <si>
    <t>Mazout lourd 
(no. 5 et no. 6)</t>
  </si>
  <si>
    <t>Gaz naturel 
Système régulier</t>
  </si>
  <si>
    <t>Gaz naturel 
Chaudière à condensation</t>
  </si>
  <si>
    <t>Mazout léger no. 2
Huile usée</t>
  </si>
  <si>
    <t>Propane 
Système régulier</t>
  </si>
  <si>
    <t>Propane 
Chaudière à condensation</t>
  </si>
  <si>
    <t>PCS (kWh)</t>
  </si>
  <si>
    <t>Taux d'efficacité</t>
  </si>
  <si>
    <t>Énergie nette pour la chauffe</t>
  </si>
  <si>
    <t>kWh/kWh</t>
  </si>
  <si>
    <t>kWh/m³</t>
  </si>
  <si>
    <t>kWh/L</t>
  </si>
  <si>
    <t>Menu déroulant sélectionner</t>
  </si>
  <si>
    <t>Total $/m²</t>
  </si>
  <si>
    <t>Tableau 2. Économies annuelles anticipées sur le coûts des combustibles</t>
  </si>
  <si>
    <r>
      <t xml:space="preserve">Le tableau qui contient la quantité de biomasses forestières requise pour remplacer une unité de combustible fossile est à titre d'exemple et a comme hypothèse que l'efficacité moyenne globale de la chauffe, en partant de l'énergie brute des combustibles, soit légèrement supérieure pour un système avec des combustibles fossiles que pour un système avec de la biomasse. </t>
    </r>
    <r>
      <rPr>
        <u val="single"/>
        <sz val="11"/>
        <color indexed="8"/>
        <rFont val="Calibri"/>
        <family val="2"/>
      </rPr>
      <t>Pour avoir le même niveau de performance, un système à la biomasse avec un réservoir d'hydroaccumulation approprié doit fonctionner en tout temps de façon optimale</t>
    </r>
    <r>
      <rPr>
        <sz val="11"/>
        <color theme="1"/>
        <rFont val="Calibri"/>
        <family val="2"/>
      </rPr>
      <t>. Cependant, les résultats observés sur le terrain démontrent que ce n'est généralement pas le cas; pour les nouveaux utilisateurs du chauffage à la biomasse, l'efficacité globale de la chauffe tend souvent à être moindre, du moins durant les premières années, selon les installations, le type de biomasse et l'habilité de l'opérateur.</t>
    </r>
  </si>
  <si>
    <t xml:space="preserve">Tableau 1. Quantité de biomasse forestière requise pour remplacer 
                       une unité de combustible fossile
</t>
  </si>
  <si>
    <t>30 % humidité</t>
  </si>
  <si>
    <t>différence
$</t>
  </si>
  <si>
    <t>différence
%</t>
  </si>
  <si>
    <r>
      <t xml:space="preserve">Électricité </t>
    </r>
    <r>
      <rPr>
        <vertAlign val="superscript"/>
        <sz val="11"/>
        <color indexed="8"/>
        <rFont val="Calibri"/>
        <family val="2"/>
      </rPr>
      <t>1</t>
    </r>
  </si>
  <si>
    <r>
      <t>Traitement d'eau</t>
    </r>
    <r>
      <rPr>
        <vertAlign val="superscript"/>
        <sz val="11"/>
        <color indexed="8"/>
        <rFont val="Calibri"/>
        <family val="2"/>
      </rPr>
      <t>2</t>
    </r>
  </si>
  <si>
    <r>
      <t>Main d'œuvre</t>
    </r>
    <r>
      <rPr>
        <vertAlign val="superscript"/>
        <sz val="11"/>
        <color indexed="8"/>
        <rFont val="Calibri"/>
        <family val="2"/>
      </rPr>
      <t>3</t>
    </r>
  </si>
  <si>
    <r>
      <t>Pièces et services</t>
    </r>
    <r>
      <rPr>
        <vertAlign val="superscript"/>
        <sz val="11"/>
        <color indexed="8"/>
        <rFont val="Calibri"/>
        <family val="2"/>
      </rPr>
      <t>4</t>
    </r>
  </si>
  <si>
    <t>Tarif main d'oeuvre</t>
  </si>
  <si>
    <r>
      <rPr>
        <b/>
        <vertAlign val="superscript"/>
        <sz val="11"/>
        <color indexed="8"/>
        <rFont val="Calibri"/>
        <family val="2"/>
      </rPr>
      <t xml:space="preserve">2  </t>
    </r>
    <r>
      <rPr>
        <b/>
        <sz val="11"/>
        <color indexed="8"/>
        <rFont val="Calibri"/>
        <family val="2"/>
      </rPr>
      <t>Traitement d'eau</t>
    </r>
  </si>
  <si>
    <r>
      <rPr>
        <b/>
        <vertAlign val="superscript"/>
        <sz val="11"/>
        <color indexed="8"/>
        <rFont val="Calibri"/>
        <family val="2"/>
      </rPr>
      <t xml:space="preserve">1  </t>
    </r>
    <r>
      <rPr>
        <b/>
        <sz val="11"/>
        <color indexed="8"/>
        <rFont val="Calibri"/>
        <family val="2"/>
      </rPr>
      <t>Consommation d'électricité attribuée à la chauffe*</t>
    </r>
  </si>
  <si>
    <r>
      <rPr>
        <b/>
        <vertAlign val="superscript"/>
        <sz val="11"/>
        <color indexed="8"/>
        <rFont val="Calibri"/>
        <family val="2"/>
      </rPr>
      <t xml:space="preserve">3  </t>
    </r>
    <r>
      <rPr>
        <b/>
        <sz val="11"/>
        <color indexed="8"/>
        <rFont val="Calibri"/>
        <family val="2"/>
      </rPr>
      <t>Main d'oeuvre</t>
    </r>
  </si>
  <si>
    <t>litres/m²</t>
  </si>
  <si>
    <t>Volume d'eau dans le système de distribution</t>
  </si>
  <si>
    <t>Concentraton du produit de protection en litre / 1000 litres</t>
  </si>
  <si>
    <t>Prix du produit en gros volume $/litre</t>
  </si>
  <si>
    <t>h/semaine</t>
  </si>
  <si>
    <t>Cliquez la cellule en jaune pour retourner à l'onglet « Notes »</t>
  </si>
  <si>
    <r>
      <rPr>
        <vertAlign val="superscript"/>
        <sz val="11"/>
        <color indexed="8"/>
        <rFont val="Calibri"/>
        <family val="2"/>
      </rPr>
      <t>4</t>
    </r>
    <r>
      <rPr>
        <sz val="11"/>
        <color theme="1"/>
        <rFont val="Calibri"/>
        <family val="2"/>
      </rPr>
      <t xml:space="preserve"> Coûts des pièces et services reçus de l'externe pour effectuer </t>
    </r>
    <r>
      <rPr>
        <b/>
        <sz val="11"/>
        <color indexed="8"/>
        <rFont val="Calibri"/>
        <family val="2"/>
      </rPr>
      <t>l'entretien et les réparations</t>
    </r>
    <r>
      <rPr>
        <sz val="11"/>
        <color theme="1"/>
        <rFont val="Calibri"/>
        <family val="2"/>
      </rPr>
      <t xml:space="preserve"> du système de chauffage excluant le traitement de l'eau.</t>
    </r>
  </si>
  <si>
    <t xml:space="preserve">$/kWh </t>
  </si>
  <si>
    <t>kWh électricité/100 kWh chauffe</t>
  </si>
  <si>
    <t xml:space="preserve">Investissement </t>
  </si>
  <si>
    <t xml:space="preserve"> kWh d'électricité/tonne de biomasse</t>
  </si>
  <si>
    <t xml:space="preserve"> $ d'électricité/tonne de biomasse</t>
  </si>
  <si>
    <t>* En général, représente 50 % à 60 % de la facture d'électricité. 
   Varie selon les systèmes mécaniques opérés</t>
  </si>
  <si>
    <t>Volume d'eau dans le système d'hydroaccumulation</t>
  </si>
  <si>
    <t>Prix du produit en petit volume $/litre</t>
  </si>
  <si>
    <r>
      <t xml:space="preserve">Heures par semaine du </t>
    </r>
    <r>
      <rPr>
        <b/>
        <u val="single"/>
        <sz val="11"/>
        <color indexed="8"/>
        <rFont val="Calibri"/>
        <family val="2"/>
      </rPr>
      <t xml:space="preserve">personnel de l'entreprise </t>
    </r>
    <r>
      <rPr>
        <sz val="11"/>
        <color theme="1"/>
        <rFont val="Calibri"/>
        <family val="2"/>
      </rPr>
      <t>requises pour surveiller et gérer la bonne marche du système, manipuler la biomasse pour le système d'alimentation, recevoir et gérer l'approvisionnement, effectuer l'entretien et les réparations.</t>
    </r>
  </si>
  <si>
    <t>Fichier de travail</t>
  </si>
  <si>
    <t>Certaines cellules ont des commentaires (petit triangle rouge dans le coin supérieur droit) vous n'avez qu'à mettre le pointeur de la souris sur celle-ci pour y avoir accès. Le commentaire donne des informations sur le contenu de la cellule.</t>
  </si>
  <si>
    <r>
      <t>Si on désire faire une comparaison entre les couts d'investissements de deux différents systèmes de chauffe, on peut utiliser une copie du fichier pour chacune des options ou plus simplement créer une copie de l'onglet</t>
    </r>
    <r>
      <rPr>
        <i/>
        <sz val="11"/>
        <color indexed="8"/>
        <rFont val="Calibri"/>
        <family val="2"/>
      </rPr>
      <t xml:space="preserve"> 4-Investissents</t>
    </r>
  </si>
  <si>
    <t>L'objectif de la feuille est d'automatiser, à l'intérieur d'une démarche, les calculs requis pour faciliter l'évaluation économique adéquate d'un projet d'investissement pour un système de chauffage à la biomasse.</t>
  </si>
  <si>
    <t>Cliquer la cellule en jaune pour retourner à l'onglet « Notes »</t>
  </si>
  <si>
    <t xml:space="preserve">Puissance brute : </t>
  </si>
  <si>
    <t>Nouveaux bâtiments</t>
  </si>
  <si>
    <t>• Réservoir d'hydroaccumulation</t>
  </si>
  <si>
    <t>Services professionnels</t>
  </si>
  <si>
    <t>Coût total</t>
  </si>
  <si>
    <t xml:space="preserve"> Le type de bâtiment choisi influence fortement le coût. Certains optent pour une structure de serre.</t>
  </si>
  <si>
    <t>Autonomie avec un fonctionnement à 70 % de la puissance brute pendant 24 heures</t>
  </si>
  <si>
    <t xml:space="preserve"> Peut fluctuer en fonction des services fournis (plans &amp; devis, démarchage, études, etc.)</t>
  </si>
  <si>
    <t>Sous-total *</t>
  </si>
  <si>
    <t>Sous-total</t>
  </si>
  <si>
    <t>Économies anticipées sur le coût des combustibles</t>
  </si>
  <si>
    <t>Couts totaux de l'investissement</t>
  </si>
  <si>
    <t>Ratio de l'investissement par rapport au chiffre d'affaires</t>
  </si>
  <si>
    <t xml:space="preserve">Ratio de l'investissement après subvention par rapport au chiffre d'affaires </t>
  </si>
  <si>
    <t>Calcul du coût des intérêts</t>
  </si>
  <si>
    <t>Taux d'intérêt %</t>
  </si>
  <si>
    <t>Nombre d'années pour l'emprunt</t>
  </si>
  <si>
    <t>Économies anticipées après déduction de la différence des frais de fonctionnement</t>
  </si>
  <si>
    <t>Différence dans les frais de fonctionnement</t>
  </si>
  <si>
    <t>Frais de fonctionnement</t>
  </si>
  <si>
    <t>Fiche biomasse: technique</t>
  </si>
  <si>
    <t xml:space="preserve">Fiche biomasse: approvisionnement  </t>
  </si>
  <si>
    <t>Fiche biomasse : démarche</t>
  </si>
  <si>
    <t>Biomasse : la bonne énergie pour mes serres (document synthèse)</t>
  </si>
  <si>
    <t>La feuille est construite pour qu'il y ait un minimum d'entrée de données à faire.</t>
  </si>
  <si>
    <t>Vous pouvez procéder en suivant simplement l'ordre des onglets et en entrant dans les cellules ombragées les valeurs qui correspondent à votre projet.</t>
  </si>
  <si>
    <t>Cependant, pour le calcul des équivalences de combustibles, nous vous suggérons de vous limiter au choix des valeurs du combustible en référence dans un premier temps (lignes 3 à 73, onglet 1-Calculs-équivalences ).  Les cellules ombragées des onglets 1-Calculs-équivalences et 6-PCS et PCI ne devraient être modifiées qu'après validation de la performance réelle des systèmes en opération et de la valeur des combustibles (lignes 87 à 132,onglet 1-Calculs-équivalences).</t>
  </si>
  <si>
    <t>Les onglets sont protégés, sans mot de passe, afin de garder la feuille de calcul fonctionnelle advenant une erreur d'entrée.</t>
  </si>
  <si>
    <t>3-Frais de fonctionnement</t>
  </si>
  <si>
    <t>RÉSULTAT</t>
  </si>
  <si>
    <t>SECTION D'ENTRÉE DE DONNÉES</t>
  </si>
  <si>
    <t>Critères techniques pour l'évaluation des frais de fonctionnement</t>
  </si>
  <si>
    <t>Frais de fonctionnement annuels en $</t>
  </si>
  <si>
    <t>Chiffrier EXCEL pour calculs d'éléments économiques dans un projet de chauffage à la biomasse
chiffrier exemple et chiffrier projet</t>
  </si>
  <si>
    <t>http://www.cides.qc.ca/ingenierie.html
http://www.spsq.info/</t>
  </si>
  <si>
    <t>Intérêts sur capital  ou emprunt répartis sur période d'amortissement</t>
  </si>
  <si>
    <t>Tableau 5. Coûts d'investissements pour un projet de chauffage à la biomasse, année:</t>
  </si>
  <si>
    <t xml:space="preserve">  Intérêts sur capital investi ou emprunts emprunts (onglet 5)</t>
  </si>
  <si>
    <t>Coût net de l'investissement 
avec intérêts capitalisés</t>
  </si>
  <si>
    <t xml:space="preserve">Taux: </t>
  </si>
  <si>
    <t xml:space="preserve">  Coût de l'amortissement</t>
  </si>
  <si>
    <t xml:space="preserve">Tableau 6. Sommaire des coûts </t>
  </si>
  <si>
    <t>Tableau 8. Calcul de la période de récupération de l'investissement (PRI)</t>
  </si>
  <si>
    <t>Tableau 7. Évaluation de la rentabilité par le gain net annuel
                      sur les coûts de chauffage</t>
  </si>
  <si>
    <t>Dépenses pour le combustible fossile mazout</t>
  </si>
  <si>
    <t>Frais de fonctionnement pour le mazout</t>
  </si>
  <si>
    <t>Sous-total  pour le combustible fossile mazout</t>
  </si>
  <si>
    <t>Total des coûts pour le chauffage à la biomasse</t>
  </si>
  <si>
    <t>Gain net annuel $</t>
  </si>
  <si>
    <t>Gain net annuel %</t>
  </si>
  <si>
    <t>Tableau 10. Ratio investissement chiffres d'affaires.</t>
  </si>
  <si>
    <t>Tableau 9. Rendement moyen annuel sur le capital investi</t>
  </si>
  <si>
    <t>Capital investi</t>
  </si>
  <si>
    <t>Gain net annuel sans frais d'intérêts</t>
  </si>
  <si>
    <t>Taux de rendement</t>
  </si>
</sst>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00"/>
    <numFmt numFmtId="166" formatCode="#,##0\ _ _);\(#,##0\ _ \)"/>
    <numFmt numFmtId="167" formatCode="0.0%"/>
    <numFmt numFmtId="168" formatCode="_ * #,##0_)\ _$_ ;_ * \(#,##0\)\ _$_ ;_ * &quot;-&quot;??_)\ _$_ ;_ @_ "/>
    <numFmt numFmtId="169" formatCode="#,##0.0_);\(#,##0.0\)"/>
    <numFmt numFmtId="170" formatCode="#,##0_);\(#,##0\)"/>
    <numFmt numFmtId="171" formatCode="_ * #,##0.000_)\ _$_ ;_ * \(#,##0.000\)\ _$_ ;_ * &quot;-&quot;??_)\ _$_ ;_ @_ "/>
    <numFmt numFmtId="172" formatCode="#,##0.0"/>
    <numFmt numFmtId="173" formatCode="_ * #,##0_)\ &quot;m²&quot;_ ;_ * \(#,##0\)\ &quot;m²&quot;_ ;_ * &quot;-&quot;_)\ &quot;$&quot;_ ;_ @_ "/>
    <numFmt numFmtId="174" formatCode="#,##0_)\ &quot;$/L&quot;_ ;\(#,##0\)\ &quot;$/L&quot;_ ;_ * &quot;-&quot;_)\ &quot;$&quot;_ ;_ @_ "/>
    <numFmt numFmtId="175" formatCode="\ #,##0_)\ ;\ \(#,##0_)\ ;\ &quot;-&quot;??_)\ ;_ @_ "/>
    <numFmt numFmtId="176" formatCode="#,##0.0\ _ _);\(#,##0.0\ _ \)"/>
    <numFmt numFmtId="177" formatCode="0.0_);\(0.0\)"/>
    <numFmt numFmtId="178" formatCode="#,##0.00\ _ _);\(#,##0.00\ _ \)"/>
    <numFmt numFmtId="179" formatCode="_ * #,##0.0_)\ &quot;m²&quot;_ ;_ * \(#,##0.0\)\ &quot;m²&quot;_ ;_ * &quot;-&quot;_)\ &quot;$&quot;_ ;_ @_ "/>
    <numFmt numFmtId="180" formatCode="_ * #,##0.0_)\ _$_ ;_ * \(#,##0.0\)\ _$_ ;_ * &quot;-&quot;??_)\ _$_ ;_ @_ "/>
    <numFmt numFmtId="181" formatCode="#,##0_)\ &quot;m²&quot;_ ;\ \(#,##0\)\ &quot;m²&quot;_ ;_ * &quot;-&quot;_)&quot;m²&quot;\ _ ;_ @_ "/>
    <numFmt numFmtId="182" formatCode="_ * #,##0_)\ &quot;jrs&quot;_ ;_ * \(#,##0\)\ &quot;jrs&quot;_ ;_ * &quot;-&quot;_)\ &quot;jrs&quot;_ ;_ @_ "/>
    <numFmt numFmtId="183" formatCode="\ #,##0_)\ &quot;kW&quot;_ ;\ \(#,##0\)\ &quot;kW&quot;_ ;\ * &quot;-&quot;_)\ &quot;kW&quot;_ ;_ @_ "/>
    <numFmt numFmtId="184" formatCode="_ * #,##0_)\ &quot;L&quot;_ ;_ * \(#,##0\)\ &quot;L&quot;_ ;_ * &quot;-&quot;_)\ &quot;L&quot;_ ;_ @_ "/>
    <numFmt numFmtId="185" formatCode="_ * #,##0_)\ &quot;tonnes&quot;_ ;_ * \(#,##0\)\ &quot;tonnes&quot;_ ;_ * &quot;-&quot;_)\ &quot;tonnes&quot;_ ;_ @_ "/>
    <numFmt numFmtId="186" formatCode="_ * #,##0.0_)\ &quot;L&quot;_ ;_ * \(#,##0.0\)\ &quot;L&quot;_ ;_ * &quot;-&quot;_)\ &quot;L&quot;_ ;_ @_ "/>
    <numFmt numFmtId="187" formatCode="_ * #,##0_)\ &quot;ans&quot;_ ;_ * \(#,##0\)\ &quot;ans&quot;_ ;_ * &quot;-&quot;_)\ &quot;ans&quot;_ ;_ @_ "/>
  </numFmts>
  <fonts count="76">
    <font>
      <sz val="11"/>
      <color theme="1"/>
      <name val="Calibri"/>
      <family val="2"/>
    </font>
    <font>
      <sz val="11"/>
      <color indexed="8"/>
      <name val="Calibri"/>
      <family val="2"/>
    </font>
    <font>
      <b/>
      <sz val="11"/>
      <color indexed="8"/>
      <name val="Calibri"/>
      <family val="2"/>
    </font>
    <font>
      <u val="single"/>
      <sz val="11"/>
      <color indexed="12"/>
      <name val="Calibri"/>
      <family val="2"/>
    </font>
    <font>
      <sz val="9"/>
      <name val="Tahoma"/>
      <family val="2"/>
    </font>
    <font>
      <sz val="10"/>
      <color indexed="8"/>
      <name val="Arial"/>
      <family val="2"/>
    </font>
    <font>
      <b/>
      <sz val="10"/>
      <color indexed="8"/>
      <name val="Calibri"/>
      <family val="2"/>
    </font>
    <font>
      <sz val="10"/>
      <color indexed="8"/>
      <name val="Calibri"/>
      <family val="2"/>
    </font>
    <font>
      <b/>
      <vertAlign val="subscript"/>
      <sz val="10"/>
      <color indexed="8"/>
      <name val="Calibri"/>
      <family val="2"/>
    </font>
    <font>
      <b/>
      <sz val="8"/>
      <color indexed="8"/>
      <name val="Calibri"/>
      <family val="2"/>
    </font>
    <font>
      <vertAlign val="subscript"/>
      <sz val="10"/>
      <color indexed="8"/>
      <name val="Calibri"/>
      <family val="2"/>
    </font>
    <font>
      <b/>
      <sz val="12"/>
      <color indexed="8"/>
      <name val="Calibri"/>
      <family val="2"/>
    </font>
    <font>
      <b/>
      <sz val="22"/>
      <color indexed="8"/>
      <name val="Calibri"/>
      <family val="2"/>
    </font>
    <font>
      <b/>
      <sz val="12"/>
      <color indexed="10"/>
      <name val="Calibri"/>
      <family val="2"/>
    </font>
    <font>
      <i/>
      <sz val="10"/>
      <color indexed="8"/>
      <name val="Calibri"/>
      <family val="2"/>
    </font>
    <font>
      <b/>
      <i/>
      <sz val="11"/>
      <color indexed="8"/>
      <name val="Calibri"/>
      <family val="2"/>
    </font>
    <font>
      <b/>
      <i/>
      <sz val="12"/>
      <color indexed="8"/>
      <name val="Calibri"/>
      <family val="2"/>
    </font>
    <font>
      <i/>
      <sz val="11"/>
      <color indexed="8"/>
      <name val="Calibri"/>
      <family val="2"/>
    </font>
    <font>
      <b/>
      <sz val="9"/>
      <name val="Tahoma"/>
      <family val="2"/>
    </font>
    <font>
      <b/>
      <u val="single"/>
      <sz val="11"/>
      <color indexed="12"/>
      <name val="Calibri"/>
      <family val="2"/>
    </font>
    <font>
      <b/>
      <u val="single"/>
      <sz val="14"/>
      <color indexed="12"/>
      <name val="Calibri"/>
      <family val="2"/>
    </font>
    <font>
      <b/>
      <sz val="14"/>
      <color indexed="8"/>
      <name val="Calibri"/>
      <family val="2"/>
    </font>
    <font>
      <u val="single"/>
      <sz val="11"/>
      <color indexed="8"/>
      <name val="Calibri"/>
      <family val="2"/>
    </font>
    <font>
      <vertAlign val="superscript"/>
      <sz val="11"/>
      <color indexed="8"/>
      <name val="Calibri"/>
      <family val="2"/>
    </font>
    <font>
      <b/>
      <vertAlign val="superscript"/>
      <sz val="11"/>
      <color indexed="8"/>
      <name val="Calibri"/>
      <family val="2"/>
    </font>
    <font>
      <b/>
      <u val="single"/>
      <sz val="11"/>
      <color indexed="8"/>
      <name val="Calibri"/>
      <family val="2"/>
    </font>
    <font>
      <b/>
      <sz val="18"/>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0"/>
      <color theme="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sz val="10"/>
      <color theme="1"/>
      <name val="Calibri"/>
      <family val="2"/>
    </font>
    <font>
      <b/>
      <sz val="10"/>
      <color theme="1"/>
      <name val="Calibri"/>
      <family val="2"/>
    </font>
    <font>
      <b/>
      <sz val="22"/>
      <color theme="1"/>
      <name val="Calibri"/>
      <family val="2"/>
    </font>
    <font>
      <b/>
      <sz val="12"/>
      <color theme="1"/>
      <name val="Calibri"/>
      <family val="2"/>
    </font>
    <font>
      <b/>
      <sz val="8"/>
      <color theme="1"/>
      <name val="Calibri"/>
      <family val="2"/>
    </font>
    <font>
      <sz val="10"/>
      <color rgb="FF000000"/>
      <name val="Arial"/>
      <family val="2"/>
    </font>
    <font>
      <b/>
      <u val="single"/>
      <sz val="14"/>
      <color theme="10"/>
      <name val="Calibri"/>
      <family val="2"/>
    </font>
    <font>
      <b/>
      <u val="single"/>
      <sz val="11"/>
      <color theme="10"/>
      <name val="Calibri"/>
      <family val="2"/>
    </font>
    <font>
      <b/>
      <sz val="14"/>
      <color theme="1"/>
      <name val="Calibri"/>
      <family val="2"/>
    </font>
    <font>
      <b/>
      <sz val="12"/>
      <color rgb="FFFF0000"/>
      <name val="Calibri"/>
      <family val="2"/>
    </font>
    <font>
      <i/>
      <sz val="11"/>
      <color theme="1"/>
      <name val="Calibri"/>
      <family val="2"/>
    </font>
    <font>
      <b/>
      <sz val="16"/>
      <color theme="1"/>
      <name val="Calibri"/>
      <family val="2"/>
    </font>
    <font>
      <b/>
      <sz val="1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medium"/>
    </border>
    <border>
      <left style="thin"/>
      <right style="thin"/>
      <top style="thin"/>
      <bottom/>
    </border>
    <border>
      <left style="medium"/>
      <right/>
      <top style="thin"/>
      <bottom style="thin"/>
    </border>
    <border>
      <left/>
      <right style="medium"/>
      <top style="thin"/>
      <bottom style="thin"/>
    </border>
    <border>
      <left style="medium"/>
      <right style="thin"/>
      <top/>
      <bottom style="medium"/>
    </border>
    <border>
      <left style="thin"/>
      <right style="medium"/>
      <top/>
      <bottom/>
    </border>
    <border>
      <left style="medium"/>
      <right style="thin"/>
      <top style="thin"/>
      <bottom style="thin"/>
    </border>
    <border>
      <left style="thin"/>
      <right/>
      <top style="thin"/>
      <bottom/>
    </border>
    <border>
      <left style="thin"/>
      <right style="medium"/>
      <top style="thin"/>
      <bottom style="thin"/>
    </border>
    <border>
      <left/>
      <right style="thin"/>
      <top style="thin"/>
      <bottom style="thin"/>
    </border>
    <border>
      <left/>
      <right/>
      <top style="thin"/>
      <bottom style="thin"/>
    </border>
    <border>
      <left style="medium"/>
      <right style="thin"/>
      <top style="thin"/>
      <bottom/>
    </border>
    <border>
      <left style="thin"/>
      <right style="medium"/>
      <top style="thin"/>
      <bottom/>
    </border>
    <border>
      <left style="thin"/>
      <right/>
      <top style="thin"/>
      <bottom style="thin"/>
    </border>
    <border>
      <left/>
      <right/>
      <top style="medium"/>
      <bottom style="medium"/>
    </border>
    <border>
      <left style="medium"/>
      <right/>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right style="medium"/>
      <top style="medium"/>
      <bottom style="medium"/>
    </border>
    <border>
      <left/>
      <right style="thin"/>
      <top/>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bottom style="thin"/>
    </border>
    <border>
      <left style="medium"/>
      <right/>
      <top/>
      <bottom style="medium"/>
    </border>
    <border>
      <left style="thin"/>
      <right style="thin"/>
      <top style="thin"/>
      <bottom style="mediu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style="thin"/>
      <top/>
      <bottom/>
    </border>
    <border>
      <left style="medium"/>
      <right/>
      <top/>
      <bottom/>
    </border>
    <border>
      <left/>
      <right style="medium"/>
      <top/>
      <bottom/>
    </border>
    <border>
      <left/>
      <right/>
      <top/>
      <bottom style="medium"/>
    </border>
    <border>
      <left style="thin"/>
      <right style="medium"/>
      <top/>
      <bottom style="medium"/>
    </border>
    <border>
      <left style="thin"/>
      <right/>
      <top/>
      <bottom/>
    </border>
    <border>
      <left style="thin"/>
      <right/>
      <top/>
      <bottom style="thin"/>
    </border>
    <border>
      <left style="medium"/>
      <right/>
      <top style="medium"/>
      <bottom style="thin"/>
    </border>
    <border>
      <left style="thin"/>
      <right style="medium"/>
      <top style="medium"/>
      <bottom style="thin"/>
    </border>
    <border>
      <left style="medium"/>
      <right/>
      <top/>
      <bottom style="thin"/>
    </border>
    <border>
      <left style="thin"/>
      <right style="medium"/>
      <top/>
      <bottom style="thin"/>
    </border>
    <border>
      <left/>
      <right/>
      <top/>
      <bottom style="thin"/>
    </border>
    <border>
      <left/>
      <right/>
      <top style="thin"/>
      <bottom/>
    </border>
    <border>
      <left style="medium"/>
      <right/>
      <top style="thin"/>
      <bottom/>
    </border>
    <border>
      <left/>
      <right style="medium"/>
      <top/>
      <bottom style="thin"/>
    </border>
    <border>
      <left style="medium">
        <color rgb="FFFF0000"/>
      </left>
      <right/>
      <top/>
      <bottom/>
    </border>
    <border>
      <left/>
      <right/>
      <top style="medium"/>
      <bottom/>
    </border>
    <border>
      <left/>
      <right/>
      <top style="medium"/>
      <bottom style="thin"/>
    </border>
    <border>
      <left/>
      <right style="medium"/>
      <top/>
      <bottom style="medium"/>
    </border>
    <border>
      <left/>
      <right style="thin"/>
      <top style="thin"/>
      <bottom/>
    </border>
    <border>
      <left/>
      <right style="thin"/>
      <top/>
      <bottom/>
    </border>
    <border>
      <left style="thin"/>
      <right style="thin"/>
      <top style="medium"/>
      <bottom/>
    </border>
    <border>
      <left style="thin"/>
      <right/>
      <top style="medium"/>
      <bottom style="thin"/>
    </border>
    <border>
      <left style="thin"/>
      <right style="thin"/>
      <top/>
      <bottom style="medium"/>
    </border>
    <border>
      <left style="thin"/>
      <right/>
      <top style="thin"/>
      <bottom style="medium"/>
    </border>
    <border>
      <left style="thin"/>
      <right style="medium"/>
      <top style="thin"/>
      <bottom style="medium"/>
    </border>
    <border>
      <left style="medium"/>
      <right style="medium"/>
      <top style="medium"/>
      <bottom style="medium"/>
    </border>
    <border>
      <left style="medium"/>
      <right/>
      <top style="thin"/>
      <bottom style="medium"/>
    </border>
    <border>
      <left/>
      <right/>
      <top style="thin"/>
      <bottom style="medium"/>
    </border>
    <border>
      <left style="thin"/>
      <right/>
      <top/>
      <bottom style="medium"/>
    </border>
    <border>
      <left style="thin"/>
      <right/>
      <top style="medium"/>
      <bottom/>
    </border>
    <border>
      <left/>
      <right style="thin"/>
      <top style="medium"/>
      <bottom style="medium"/>
    </border>
    <border>
      <left style="medium"/>
      <right style="medium"/>
      <top style="thin"/>
      <bottom style="thin"/>
    </border>
    <border>
      <left style="medium"/>
      <right style="medium"/>
      <top/>
      <bottom/>
    </border>
    <border>
      <left style="thin"/>
      <right style="thin"/>
      <top/>
      <bottom/>
    </border>
    <border>
      <left/>
      <right style="thin"/>
      <top style="medium"/>
      <bottom/>
    </border>
    <border>
      <left/>
      <right style="thin"/>
      <top style="medium"/>
      <bottom style="thin"/>
    </border>
    <border>
      <left/>
      <right style="thin"/>
      <top style="thin"/>
      <bottom style="medium"/>
    </border>
    <border>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50"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784">
    <xf numFmtId="0" fontId="0" fillId="0" borderId="0" xfId="0" applyFont="1" applyAlignment="1">
      <alignment/>
    </xf>
    <xf numFmtId="0" fontId="0" fillId="0" borderId="0" xfId="0" applyAlignment="1">
      <alignment vertical="top"/>
    </xf>
    <xf numFmtId="0" fontId="0" fillId="0" borderId="10" xfId="0" applyBorder="1" applyAlignment="1">
      <alignment vertical="top"/>
    </xf>
    <xf numFmtId="0" fontId="0" fillId="0" borderId="10" xfId="0" applyBorder="1" applyAlignment="1">
      <alignment vertical="top" wrapText="1"/>
    </xf>
    <xf numFmtId="0" fontId="49" fillId="0" borderId="10" xfId="45" applyBorder="1" applyAlignment="1" applyProtection="1">
      <alignment vertical="top" wrapText="1"/>
      <protection/>
    </xf>
    <xf numFmtId="0" fontId="59" fillId="0" borderId="0" xfId="0" applyFont="1" applyAlignment="1">
      <alignment/>
    </xf>
    <xf numFmtId="0" fontId="0" fillId="0" borderId="11" xfId="0" applyBorder="1" applyAlignment="1">
      <alignment horizontal="center"/>
    </xf>
    <xf numFmtId="0" fontId="0" fillId="0" borderId="10" xfId="0" applyFill="1" applyBorder="1" applyAlignment="1">
      <alignment vertical="top"/>
    </xf>
    <xf numFmtId="0" fontId="0" fillId="0" borderId="0" xfId="0" applyFont="1" applyAlignment="1">
      <alignment/>
    </xf>
    <xf numFmtId="0" fontId="61" fillId="0" borderId="0" xfId="0" applyFont="1" applyAlignment="1">
      <alignment horizontal="right" vertical="top" wrapText="1"/>
    </xf>
    <xf numFmtId="0" fontId="0" fillId="0" borderId="12" xfId="0" applyFill="1" applyBorder="1" applyAlignment="1">
      <alignment vertical="top"/>
    </xf>
    <xf numFmtId="0" fontId="49" fillId="0" borderId="12" xfId="45" applyBorder="1" applyAlignment="1" applyProtection="1">
      <alignment vertical="top" wrapText="1"/>
      <protection/>
    </xf>
    <xf numFmtId="0" fontId="61" fillId="0" borderId="10" xfId="0" applyFont="1" applyBorder="1" applyAlignment="1">
      <alignment horizontal="left" vertical="top" wrapText="1"/>
    </xf>
    <xf numFmtId="0" fontId="49" fillId="0" borderId="10" xfId="45" applyFont="1" applyBorder="1" applyAlignment="1" applyProtection="1">
      <alignment horizontal="left" vertical="top" wrapText="1"/>
      <protection/>
    </xf>
    <xf numFmtId="0" fontId="49" fillId="0" borderId="0" xfId="45" applyAlignment="1" applyProtection="1">
      <alignment/>
      <protection/>
    </xf>
    <xf numFmtId="0" fontId="61" fillId="0" borderId="10" xfId="0" applyFont="1" applyFill="1" applyBorder="1" applyAlignment="1">
      <alignment horizontal="left" vertical="top" wrapText="1"/>
    </xf>
    <xf numFmtId="0" fontId="49" fillId="0" borderId="10" xfId="45" applyBorder="1" applyAlignment="1" applyProtection="1">
      <alignment horizontal="left" vertical="top" wrapText="1"/>
      <protection/>
    </xf>
    <xf numFmtId="0" fontId="59" fillId="0" borderId="13" xfId="0" applyFont="1" applyBorder="1" applyAlignment="1">
      <alignment/>
    </xf>
    <xf numFmtId="166" fontId="59" fillId="0" borderId="14" xfId="0" applyNumberFormat="1" applyFont="1" applyBorder="1" applyAlignment="1">
      <alignment/>
    </xf>
    <xf numFmtId="0" fontId="59" fillId="0" borderId="15" xfId="0" applyFont="1" applyBorder="1" applyAlignment="1">
      <alignment horizontal="left"/>
    </xf>
    <xf numFmtId="0" fontId="0" fillId="0" borderId="16" xfId="0" applyBorder="1" applyAlignment="1" applyProtection="1">
      <alignment horizontal="center"/>
      <protection locked="0"/>
    </xf>
    <xf numFmtId="3" fontId="0" fillId="13" borderId="17" xfId="46" applyNumberFormat="1" applyFont="1" applyFill="1" applyBorder="1" applyAlignment="1" applyProtection="1">
      <alignment horizontal="center" vertical="center"/>
      <protection locked="0"/>
    </xf>
    <xf numFmtId="0" fontId="0" fillId="0" borderId="18" xfId="0" applyBorder="1" applyAlignment="1" applyProtection="1">
      <alignment horizontal="left" indent="1"/>
      <protection locked="0"/>
    </xf>
    <xf numFmtId="0" fontId="0" fillId="0" borderId="19" xfId="0" applyBorder="1" applyAlignment="1" applyProtection="1">
      <alignment vertical="center"/>
      <protection locked="0"/>
    </xf>
    <xf numFmtId="3" fontId="0" fillId="0" borderId="13" xfId="46" applyNumberFormat="1" applyFont="1" applyFill="1" applyBorder="1" applyAlignment="1" applyProtection="1">
      <alignment horizontal="center" vertical="center"/>
      <protection locked="0"/>
    </xf>
    <xf numFmtId="3" fontId="0" fillId="0" borderId="20" xfId="46" applyNumberFormat="1" applyFont="1" applyFill="1" applyBorder="1" applyAlignment="1" applyProtection="1">
      <alignment horizontal="center" vertical="center"/>
      <protection locked="0"/>
    </xf>
    <xf numFmtId="9" fontId="0" fillId="13" borderId="10" xfId="53" applyFont="1" applyFill="1" applyBorder="1" applyAlignment="1" applyProtection="1">
      <alignment horizontal="center" vertical="center"/>
      <protection locked="0"/>
    </xf>
    <xf numFmtId="167" fontId="0" fillId="13" borderId="17" xfId="53" applyNumberFormat="1" applyFont="1" applyFill="1" applyBorder="1" applyAlignment="1" applyProtection="1">
      <alignment horizontal="center" vertical="center"/>
      <protection locked="0"/>
    </xf>
    <xf numFmtId="174" fontId="0" fillId="13" borderId="10" xfId="0" applyNumberFormat="1" applyFont="1" applyFill="1" applyBorder="1" applyAlignment="1" applyProtection="1">
      <alignment horizontal="center" vertical="center"/>
      <protection locked="0"/>
    </xf>
    <xf numFmtId="4" fontId="0" fillId="0" borderId="21" xfId="46" applyNumberFormat="1" applyFont="1" applyFill="1" applyBorder="1" applyAlignment="1" applyProtection="1">
      <alignment horizontal="center" vertical="center"/>
      <protection locked="0"/>
    </xf>
    <xf numFmtId="3" fontId="0" fillId="0" borderId="21" xfId="46" applyNumberFormat="1" applyFont="1" applyFill="1" applyBorder="1" applyAlignment="1" applyProtection="1">
      <alignment horizontal="center" vertical="center"/>
      <protection locked="0"/>
    </xf>
    <xf numFmtId="9" fontId="0" fillId="13" borderId="20" xfId="53" applyFont="1" applyFill="1" applyBorder="1" applyAlignment="1" applyProtection="1">
      <alignment horizontal="right" vertical="center"/>
      <protection locked="0"/>
    </xf>
    <xf numFmtId="0" fontId="59" fillId="0" borderId="0" xfId="0" applyFont="1" applyAlignment="1" applyProtection="1">
      <alignment/>
      <protection locked="0"/>
    </xf>
    <xf numFmtId="3" fontId="59" fillId="0" borderId="12" xfId="0" applyNumberFormat="1" applyFont="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175" fontId="59" fillId="0" borderId="18" xfId="0" applyNumberFormat="1" applyFont="1" applyBorder="1" applyAlignment="1" applyProtection="1">
      <alignment horizontal="center" vertical="center"/>
      <protection locked="0"/>
    </xf>
    <xf numFmtId="0" fontId="59" fillId="0" borderId="22"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1" fontId="59" fillId="0" borderId="20" xfId="0" applyNumberFormat="1" applyFont="1" applyBorder="1" applyAlignment="1" applyProtection="1">
      <alignment horizontal="center" vertical="center"/>
      <protection locked="0"/>
    </xf>
    <xf numFmtId="0" fontId="59" fillId="0" borderId="23" xfId="0" applyFont="1" applyBorder="1" applyAlignment="1" applyProtection="1">
      <alignment vertical="center"/>
      <protection locked="0"/>
    </xf>
    <xf numFmtId="1" fontId="59" fillId="0" borderId="0" xfId="0" applyNumberFormat="1" applyFont="1" applyBorder="1" applyAlignment="1" applyProtection="1">
      <alignment horizontal="center" vertical="center"/>
      <protection locked="0"/>
    </xf>
    <xf numFmtId="0" fontId="59" fillId="0" borderId="24" xfId="0" applyFont="1" applyBorder="1" applyAlignment="1" applyProtection="1">
      <alignment/>
      <protection locked="0"/>
    </xf>
    <xf numFmtId="0" fontId="59" fillId="0" borderId="21" xfId="0" applyFont="1" applyBorder="1" applyAlignment="1" applyProtection="1">
      <alignment/>
      <protection locked="0"/>
    </xf>
    <xf numFmtId="3" fontId="59" fillId="0" borderId="25" xfId="0" applyNumberFormat="1" applyFont="1" applyBorder="1" applyAlignment="1" applyProtection="1">
      <alignment vertical="center"/>
      <protection locked="0"/>
    </xf>
    <xf numFmtId="0" fontId="59" fillId="13" borderId="0" xfId="0" applyFont="1" applyFill="1" applyAlignment="1" applyProtection="1">
      <alignment horizontal="left" indent="1"/>
      <protection locked="0"/>
    </xf>
    <xf numFmtId="7" fontId="0" fillId="13" borderId="10" xfId="49" applyNumberFormat="1" applyFont="1" applyFill="1" applyBorder="1" applyAlignment="1" applyProtection="1">
      <alignment horizontal="right" vertical="center" indent="1"/>
      <protection locked="0"/>
    </xf>
    <xf numFmtId="0" fontId="59" fillId="0" borderId="26" xfId="0" applyFont="1" applyBorder="1" applyAlignment="1">
      <alignment/>
    </xf>
    <xf numFmtId="0" fontId="59" fillId="0" borderId="27" xfId="0" applyFont="1" applyBorder="1" applyAlignment="1">
      <alignment horizontal="center"/>
    </xf>
    <xf numFmtId="0" fontId="59" fillId="0" borderId="28" xfId="0" applyFont="1" applyBorder="1" applyAlignment="1">
      <alignment horizontal="center"/>
    </xf>
    <xf numFmtId="0" fontId="59" fillId="0" borderId="29" xfId="0" applyFont="1" applyFill="1" applyBorder="1" applyAlignment="1">
      <alignment/>
    </xf>
    <xf numFmtId="0" fontId="59" fillId="0" borderId="11" xfId="0" applyFont="1" applyBorder="1" applyAlignment="1">
      <alignment horizontal="center"/>
    </xf>
    <xf numFmtId="0" fontId="59" fillId="0" borderId="30" xfId="0" applyFont="1" applyBorder="1" applyAlignment="1">
      <alignment/>
    </xf>
    <xf numFmtId="0" fontId="0" fillId="0" borderId="0" xfId="0" applyFont="1" applyAlignment="1">
      <alignment horizontal="center"/>
    </xf>
    <xf numFmtId="164" fontId="0" fillId="0" borderId="0" xfId="0" applyNumberFormat="1" applyFont="1" applyAlignment="1">
      <alignment horizontal="center"/>
    </xf>
    <xf numFmtId="0" fontId="0" fillId="13" borderId="10" xfId="0" applyFont="1" applyFill="1" applyBorder="1" applyAlignment="1">
      <alignment/>
    </xf>
    <xf numFmtId="0" fontId="0" fillId="0" borderId="0" xfId="0" applyFont="1" applyBorder="1" applyAlignment="1">
      <alignment/>
    </xf>
    <xf numFmtId="0" fontId="0" fillId="0" borderId="31" xfId="0" applyFont="1" applyBorder="1" applyAlignment="1">
      <alignment/>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0" fillId="0" borderId="10" xfId="0" applyFont="1" applyBorder="1" applyAlignment="1" applyProtection="1">
      <alignment vertical="top" wrapText="1"/>
      <protection locked="0"/>
    </xf>
    <xf numFmtId="3" fontId="0" fillId="13" borderId="10" xfId="0" applyNumberFormat="1" applyFont="1" applyFill="1" applyBorder="1" applyAlignment="1" applyProtection="1">
      <alignment horizontal="center" vertical="top"/>
      <protection locked="0"/>
    </xf>
    <xf numFmtId="0" fontId="0" fillId="0" borderId="0" xfId="0" applyFont="1" applyAlignment="1" applyProtection="1">
      <alignment vertical="top"/>
      <protection locked="0"/>
    </xf>
    <xf numFmtId="0" fontId="0" fillId="0" borderId="10" xfId="0" applyFont="1" applyBorder="1" applyAlignment="1" applyProtection="1">
      <alignment/>
      <protection locked="0"/>
    </xf>
    <xf numFmtId="0" fontId="0" fillId="13" borderId="10" xfId="0" applyFont="1" applyFill="1" applyBorder="1" applyAlignment="1" applyProtection="1">
      <alignment/>
      <protection locked="0"/>
    </xf>
    <xf numFmtId="3" fontId="0" fillId="13" borderId="10" xfId="0" applyNumberFormat="1" applyFont="1" applyFill="1" applyBorder="1" applyAlignment="1" applyProtection="1">
      <alignment horizontal="center"/>
      <protection locked="0"/>
    </xf>
    <xf numFmtId="3" fontId="0" fillId="0" borderId="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21" xfId="0" applyFont="1" applyBorder="1" applyAlignment="1" applyProtection="1">
      <alignment horizontal="right" vertical="center" indent="1"/>
      <protection locked="0"/>
    </xf>
    <xf numFmtId="0" fontId="0" fillId="0" borderId="21" xfId="0" applyFont="1" applyBorder="1" applyAlignment="1" applyProtection="1">
      <alignment vertical="center"/>
      <protection locked="0"/>
    </xf>
    <xf numFmtId="0" fontId="0" fillId="0" borderId="29" xfId="0" applyFont="1" applyBorder="1" applyAlignment="1">
      <alignment/>
    </xf>
    <xf numFmtId="0" fontId="0" fillId="0" borderId="11" xfId="0" applyFont="1" applyBorder="1" applyAlignment="1">
      <alignment horizontal="center"/>
    </xf>
    <xf numFmtId="0" fontId="0" fillId="0" borderId="28" xfId="0" applyFont="1" applyBorder="1" applyAlignment="1">
      <alignment horizontal="center"/>
    </xf>
    <xf numFmtId="0" fontId="0" fillId="0" borderId="33" xfId="0" applyFont="1" applyBorder="1" applyAlignment="1">
      <alignment/>
    </xf>
    <xf numFmtId="0" fontId="0" fillId="0" borderId="34" xfId="0" applyFont="1" applyBorder="1" applyAlignment="1">
      <alignment horizontal="center"/>
    </xf>
    <xf numFmtId="0" fontId="0" fillId="0" borderId="32" xfId="0" applyFont="1" applyBorder="1" applyAlignment="1">
      <alignment horizontal="center"/>
    </xf>
    <xf numFmtId="0" fontId="0" fillId="0" borderId="17" xfId="0" applyFont="1" applyBorder="1" applyAlignment="1">
      <alignment/>
    </xf>
    <xf numFmtId="0" fontId="0" fillId="0" borderId="10" xfId="0" applyFont="1" applyBorder="1" applyAlignment="1">
      <alignment horizontal="center"/>
    </xf>
    <xf numFmtId="2" fontId="0" fillId="0" borderId="0" xfId="0" applyNumberFormat="1" applyFont="1" applyAlignment="1">
      <alignment horizontal="center"/>
    </xf>
    <xf numFmtId="0" fontId="0" fillId="0" borderId="35" xfId="0" applyFont="1" applyFill="1" applyBorder="1" applyAlignment="1">
      <alignment/>
    </xf>
    <xf numFmtId="0" fontId="0" fillId="0" borderId="0" xfId="0" applyFont="1" applyBorder="1" applyAlignment="1">
      <alignment horizontal="center"/>
    </xf>
    <xf numFmtId="0" fontId="0" fillId="0" borderId="29" xfId="0" applyFont="1" applyBorder="1" applyAlignment="1">
      <alignment horizontal="left"/>
    </xf>
    <xf numFmtId="166" fontId="0" fillId="0" borderId="0" xfId="0" applyNumberFormat="1" applyFont="1" applyBorder="1" applyAlignment="1">
      <alignment/>
    </xf>
    <xf numFmtId="0" fontId="0" fillId="0" borderId="26" xfId="0" applyFont="1" applyBorder="1" applyAlignment="1">
      <alignment/>
    </xf>
    <xf numFmtId="0" fontId="0" fillId="0" borderId="25" xfId="0" applyFont="1" applyBorder="1" applyAlignment="1">
      <alignment/>
    </xf>
    <xf numFmtId="0" fontId="0" fillId="0" borderId="36" xfId="0" applyFont="1" applyBorder="1" applyAlignment="1">
      <alignment horizontal="left"/>
    </xf>
    <xf numFmtId="3" fontId="0" fillId="0" borderId="35" xfId="0" applyNumberFormat="1" applyFont="1" applyBorder="1" applyAlignment="1">
      <alignment horizontal="left"/>
    </xf>
    <xf numFmtId="0" fontId="0" fillId="0" borderId="21" xfId="0" applyFont="1" applyBorder="1" applyAlignment="1">
      <alignment/>
    </xf>
    <xf numFmtId="0" fontId="0" fillId="0" borderId="37" xfId="0" applyFont="1" applyBorder="1" applyAlignment="1">
      <alignment horizontal="left"/>
    </xf>
    <xf numFmtId="4" fontId="0" fillId="0" borderId="0" xfId="0" applyNumberFormat="1" applyFont="1" applyAlignment="1">
      <alignment/>
    </xf>
    <xf numFmtId="0" fontId="0" fillId="0" borderId="0" xfId="0" applyFont="1" applyAlignment="1">
      <alignment horizontal="left"/>
    </xf>
    <xf numFmtId="0" fontId="0" fillId="0" borderId="38" xfId="0" applyFont="1" applyBorder="1" applyAlignment="1">
      <alignment/>
    </xf>
    <xf numFmtId="3" fontId="0" fillId="0" borderId="0" xfId="0" applyNumberFormat="1" applyFont="1" applyAlignment="1" applyProtection="1">
      <alignment/>
      <protection locked="0"/>
    </xf>
    <xf numFmtId="0" fontId="0" fillId="0" borderId="0" xfId="0" applyFont="1" applyAlignment="1" applyProtection="1">
      <alignment horizontal="center"/>
      <protection locked="0"/>
    </xf>
    <xf numFmtId="1" fontId="0" fillId="0" borderId="0" xfId="0" applyNumberFormat="1" applyFont="1" applyAlignment="1" applyProtection="1">
      <alignment horizontal="center"/>
      <protection locked="0"/>
    </xf>
    <xf numFmtId="1" fontId="0" fillId="0" borderId="0" xfId="0"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1" fontId="0" fillId="0" borderId="41" xfId="0" applyNumberFormat="1" applyFont="1" applyBorder="1" applyAlignment="1" applyProtection="1">
      <alignment horizontal="center" wrapText="1"/>
      <protection locked="0"/>
    </xf>
    <xf numFmtId="1" fontId="0" fillId="0" borderId="0" xfId="0" applyNumberFormat="1" applyFont="1" applyBorder="1" applyAlignment="1" applyProtection="1">
      <alignment horizontal="center" wrapText="1"/>
      <protection locked="0"/>
    </xf>
    <xf numFmtId="0" fontId="0" fillId="0" borderId="41" xfId="0" applyFont="1" applyBorder="1" applyAlignment="1" applyProtection="1">
      <alignment horizontal="left"/>
      <protection locked="0"/>
    </xf>
    <xf numFmtId="0" fontId="0" fillId="0" borderId="42" xfId="0" applyFont="1" applyBorder="1" applyAlignment="1" applyProtection="1">
      <alignment horizontal="center"/>
      <protection locked="0"/>
    </xf>
    <xf numFmtId="3" fontId="0" fillId="0" borderId="0" xfId="0" applyNumberFormat="1" applyFont="1" applyBorder="1" applyAlignment="1" applyProtection="1">
      <alignment/>
      <protection locked="0"/>
    </xf>
    <xf numFmtId="0" fontId="0" fillId="0" borderId="43" xfId="0" applyFont="1" applyBorder="1" applyAlignment="1" applyProtection="1">
      <alignment horizontal="center"/>
      <protection locked="0"/>
    </xf>
    <xf numFmtId="0" fontId="0" fillId="0" borderId="16" xfId="0" applyFont="1" applyBorder="1" applyAlignment="1" applyProtection="1">
      <alignment horizontal="center"/>
      <protection locked="0"/>
    </xf>
    <xf numFmtId="1" fontId="0" fillId="0" borderId="44" xfId="0" applyNumberFormat="1" applyFont="1" applyBorder="1" applyAlignment="1" applyProtection="1">
      <alignment horizontal="center" wrapText="1"/>
      <protection locked="0"/>
    </xf>
    <xf numFmtId="0" fontId="0" fillId="0" borderId="44" xfId="0" applyFont="1" applyBorder="1" applyAlignment="1" applyProtection="1">
      <alignment/>
      <protection locked="0"/>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3" fontId="0" fillId="0" borderId="29"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47" xfId="0" applyFont="1" applyBorder="1" applyAlignment="1" applyProtection="1">
      <alignment horizontal="center"/>
      <protection locked="0"/>
    </xf>
    <xf numFmtId="1" fontId="0" fillId="0" borderId="37" xfId="0" applyNumberFormat="1" applyFont="1" applyBorder="1" applyAlignment="1" applyProtection="1">
      <alignment horizontal="center" wrapText="1"/>
      <protection locked="0"/>
    </xf>
    <xf numFmtId="0" fontId="0" fillId="0" borderId="48"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3" fontId="0" fillId="0" borderId="36" xfId="0" applyNumberFormat="1" applyFont="1" applyBorder="1" applyAlignment="1" applyProtection="1">
      <alignment horizontal="center"/>
      <protection locked="0"/>
    </xf>
    <xf numFmtId="175" fontId="0" fillId="0" borderId="49" xfId="0" applyNumberFormat="1" applyFont="1" applyBorder="1" applyAlignment="1" applyProtection="1">
      <alignment horizontal="center"/>
      <protection locked="0"/>
    </xf>
    <xf numFmtId="1" fontId="0" fillId="0" borderId="44" xfId="0" applyNumberFormat="1" applyFont="1" applyBorder="1" applyAlignment="1" applyProtection="1">
      <alignment horizontal="center"/>
      <protection locked="0"/>
    </xf>
    <xf numFmtId="0" fontId="0" fillId="0" borderId="40" xfId="0" applyFont="1" applyBorder="1" applyAlignment="1" applyProtection="1">
      <alignment/>
      <protection locked="0"/>
    </xf>
    <xf numFmtId="0" fontId="0" fillId="0" borderId="50" xfId="0" applyFont="1" applyBorder="1" applyAlignment="1" applyProtection="1">
      <alignment/>
      <protection locked="0"/>
    </xf>
    <xf numFmtId="0" fontId="0" fillId="0" borderId="51" xfId="0" applyFont="1" applyBorder="1" applyAlignment="1" applyProtection="1">
      <alignment/>
      <protection locked="0"/>
    </xf>
    <xf numFmtId="0" fontId="0" fillId="0" borderId="48" xfId="0" applyFont="1" applyBorder="1" applyAlignment="1" applyProtection="1">
      <alignment/>
      <protection locked="0"/>
    </xf>
    <xf numFmtId="3" fontId="0" fillId="13" borderId="17" xfId="0" applyNumberFormat="1" applyFont="1" applyFill="1" applyBorder="1" applyAlignment="1" applyProtection="1">
      <alignment vertical="center"/>
      <protection locked="0"/>
    </xf>
    <xf numFmtId="2" fontId="0" fillId="13" borderId="10" xfId="0" applyNumberFormat="1" applyFont="1" applyFill="1" applyBorder="1" applyAlignment="1" applyProtection="1">
      <alignment horizontal="center" vertical="center"/>
      <protection locked="0"/>
    </xf>
    <xf numFmtId="175" fontId="0" fillId="0" borderId="24" xfId="0" applyNumberFormat="1"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 fontId="0" fillId="0" borderId="44" xfId="0" applyNumberFormat="1"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1" fontId="0" fillId="0" borderId="0" xfId="0" applyNumberFormat="1" applyFont="1" applyBorder="1" applyAlignment="1" applyProtection="1">
      <alignment horizontal="center"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49" xfId="0" applyFont="1" applyBorder="1" applyAlignment="1" applyProtection="1">
      <alignment/>
      <protection locked="0"/>
    </xf>
    <xf numFmtId="0" fontId="0" fillId="0" borderId="54" xfId="0" applyFont="1" applyBorder="1" applyAlignment="1" applyProtection="1">
      <alignment/>
      <protection locked="0"/>
    </xf>
    <xf numFmtId="167" fontId="0" fillId="13" borderId="19" xfId="0" applyNumberFormat="1" applyFont="1" applyFill="1" applyBorder="1" applyAlignment="1" applyProtection="1">
      <alignment horizontal="center" vertical="center"/>
      <protection locked="0"/>
    </xf>
    <xf numFmtId="1" fontId="0" fillId="0" borderId="13" xfId="0" applyNumberFormat="1" applyFont="1" applyBorder="1" applyAlignment="1" applyProtection="1">
      <alignment horizontal="center" vertical="center"/>
      <protection locked="0"/>
    </xf>
    <xf numFmtId="3" fontId="0" fillId="0" borderId="21" xfId="0" applyNumberFormat="1" applyFont="1" applyBorder="1" applyAlignment="1" applyProtection="1">
      <alignment vertical="center"/>
      <protection locked="0"/>
    </xf>
    <xf numFmtId="175" fontId="0" fillId="0" borderId="21" xfId="0" applyNumberFormat="1" applyFont="1" applyBorder="1" applyAlignment="1" applyProtection="1">
      <alignment vertical="center"/>
      <protection locked="0"/>
    </xf>
    <xf numFmtId="0" fontId="0" fillId="0" borderId="21" xfId="0" applyFont="1" applyBorder="1" applyAlignment="1" applyProtection="1">
      <alignment horizontal="center" vertical="center"/>
      <protection locked="0"/>
    </xf>
    <xf numFmtId="167" fontId="0" fillId="0" borderId="21" xfId="0" applyNumberFormat="1" applyFont="1" applyBorder="1" applyAlignment="1" applyProtection="1">
      <alignment horizontal="center" vertical="center"/>
      <protection locked="0"/>
    </xf>
    <xf numFmtId="1" fontId="0" fillId="0" borderId="21"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18" xfId="0" applyFont="1" applyBorder="1" applyAlignment="1" applyProtection="1">
      <alignment horizontal="left" indent="1"/>
      <protection locked="0"/>
    </xf>
    <xf numFmtId="0" fontId="0" fillId="0" borderId="55" xfId="0" applyFont="1" applyBorder="1" applyAlignment="1" applyProtection="1">
      <alignment horizontal="left" indent="1"/>
      <protection locked="0"/>
    </xf>
    <xf numFmtId="3" fontId="0" fillId="0" borderId="17" xfId="0" applyNumberFormat="1"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175" fontId="0" fillId="0" borderId="24"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167" fontId="0" fillId="0" borderId="19" xfId="0" applyNumberFormat="1"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9" xfId="0" applyFont="1" applyBorder="1" applyAlignment="1" applyProtection="1">
      <alignment vertical="center"/>
      <protection locked="0"/>
    </xf>
    <xf numFmtId="172" fontId="0" fillId="13" borderId="17" xfId="0" applyNumberFormat="1" applyFont="1" applyFill="1" applyBorder="1" applyAlignment="1" applyProtection="1">
      <alignment horizontal="center" vertical="center"/>
      <protection locked="0"/>
    </xf>
    <xf numFmtId="3" fontId="0" fillId="13" borderId="10" xfId="0" applyNumberFormat="1" applyFont="1" applyFill="1" applyBorder="1" applyAlignment="1" applyProtection="1">
      <alignment horizontal="center" vertical="center"/>
      <protection locked="0"/>
    </xf>
    <xf numFmtId="167" fontId="0" fillId="0" borderId="16" xfId="0" applyNumberFormat="1" applyFont="1" applyBorder="1" applyAlignment="1" applyProtection="1">
      <alignment horizontal="center" vertical="center"/>
      <protection locked="0"/>
    </xf>
    <xf numFmtId="0" fontId="0" fillId="0" borderId="56" xfId="0" applyFont="1" applyBorder="1" applyAlignment="1" applyProtection="1">
      <alignment vertical="center"/>
      <protection locked="0"/>
    </xf>
    <xf numFmtId="164" fontId="0" fillId="0" borderId="36" xfId="0" applyNumberFormat="1" applyFont="1" applyBorder="1" applyAlignment="1" applyProtection="1">
      <alignment horizontal="center" vertical="center"/>
      <protection locked="0"/>
    </xf>
    <xf numFmtId="167" fontId="0" fillId="0" borderId="53" xfId="0" applyNumberFormat="1" applyFont="1" applyBorder="1" applyAlignment="1" applyProtection="1">
      <alignment horizontal="center" vertical="center"/>
      <protection locked="0"/>
    </xf>
    <xf numFmtId="167" fontId="0" fillId="13" borderId="53" xfId="0" applyNumberFormat="1"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167" fontId="0" fillId="0" borderId="23" xfId="0" applyNumberFormat="1" applyFont="1" applyBorder="1" applyAlignment="1" applyProtection="1">
      <alignment horizontal="center" vertical="center"/>
      <protection locked="0"/>
    </xf>
    <xf numFmtId="1" fontId="0" fillId="0" borderId="56" xfId="0" applyNumberFormat="1"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164" fontId="0" fillId="13" borderId="53" xfId="0" applyNumberFormat="1"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1" fontId="0" fillId="13" borderId="13" xfId="0" applyNumberFormat="1" applyFont="1" applyFill="1" applyBorder="1" applyAlignment="1" applyProtection="1">
      <alignment horizontal="center" vertical="center"/>
      <protection locked="0"/>
    </xf>
    <xf numFmtId="175" fontId="0" fillId="13" borderId="54" xfId="0" applyNumberFormat="1" applyFont="1" applyFill="1" applyBorder="1" applyAlignment="1" applyProtection="1">
      <alignment vertical="center"/>
      <protection locked="0"/>
    </xf>
    <xf numFmtId="169" fontId="0" fillId="0" borderId="36" xfId="0" applyNumberFormat="1" applyFont="1" applyBorder="1" applyAlignment="1" applyProtection="1">
      <alignment horizontal="center" vertical="center"/>
      <protection locked="0"/>
    </xf>
    <xf numFmtId="0" fontId="0" fillId="0" borderId="54" xfId="0" applyFont="1" applyBorder="1" applyAlignment="1" applyProtection="1">
      <alignment horizontal="left"/>
      <protection locked="0"/>
    </xf>
    <xf numFmtId="0" fontId="0" fillId="0" borderId="57" xfId="0" applyFont="1" applyBorder="1" applyAlignment="1" applyProtection="1">
      <alignment horizontal="left"/>
      <protection locked="0"/>
    </xf>
    <xf numFmtId="3" fontId="0" fillId="0" borderId="36" xfId="0" applyNumberFormat="1"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0" xfId="0" applyFont="1" applyBorder="1" applyAlignment="1" applyProtection="1">
      <alignment horizontal="left"/>
      <protection locked="0"/>
    </xf>
    <xf numFmtId="0" fontId="0" fillId="0" borderId="45" xfId="0" applyFont="1" applyBorder="1" applyAlignment="1" applyProtection="1">
      <alignment horizontal="left"/>
      <protection locked="0"/>
    </xf>
    <xf numFmtId="1" fontId="0" fillId="13" borderId="10" xfId="0" applyNumberFormat="1" applyFont="1" applyFill="1" applyBorder="1" applyAlignment="1" applyProtection="1">
      <alignment horizontal="center" vertical="center"/>
      <protection locked="0"/>
    </xf>
    <xf numFmtId="169" fontId="0" fillId="0" borderId="52" xfId="0" applyNumberFormat="1" applyFont="1" applyBorder="1" applyAlignment="1" applyProtection="1">
      <alignment horizontal="center" vertical="center"/>
      <protection locked="0"/>
    </xf>
    <xf numFmtId="164" fontId="0" fillId="0" borderId="53" xfId="0" applyNumberFormat="1" applyFont="1" applyBorder="1" applyAlignment="1" applyProtection="1">
      <alignment horizontal="center" vertical="center"/>
      <protection locked="0"/>
    </xf>
    <xf numFmtId="1" fontId="0" fillId="0" borderId="53" xfId="0" applyNumberFormat="1" applyFont="1" applyBorder="1" applyAlignment="1" applyProtection="1">
      <alignment horizontal="center" vertical="center"/>
      <protection locked="0"/>
    </xf>
    <xf numFmtId="173" fontId="0" fillId="13" borderId="10" xfId="0" applyNumberFormat="1" applyFont="1" applyFill="1" applyBorder="1" applyAlignment="1" applyProtection="1">
      <alignment horizontal="center" vertical="center"/>
      <protection locked="0"/>
    </xf>
    <xf numFmtId="173" fontId="0" fillId="13" borderId="20" xfId="0" applyNumberFormat="1" applyFont="1" applyFill="1" applyBorder="1" applyAlignment="1" applyProtection="1">
      <alignment horizontal="center" vertical="center"/>
      <protection locked="0"/>
    </xf>
    <xf numFmtId="164" fontId="0" fillId="0" borderId="17" xfId="0" applyNumberFormat="1" applyFont="1" applyBorder="1" applyAlignment="1" applyProtection="1">
      <alignment horizontal="center" vertical="center"/>
      <protection locked="0"/>
    </xf>
    <xf numFmtId="1" fontId="0" fillId="13" borderId="56" xfId="0" applyNumberFormat="1" applyFont="1" applyFill="1" applyBorder="1" applyAlignment="1" applyProtection="1">
      <alignment horizontal="center" vertical="center"/>
      <protection locked="0"/>
    </xf>
    <xf numFmtId="3" fontId="0" fillId="0" borderId="13" xfId="0" applyNumberFormat="1" applyFont="1" applyBorder="1" applyAlignment="1" applyProtection="1">
      <alignment horizontal="center" vertical="center"/>
      <protection locked="0"/>
    </xf>
    <xf numFmtId="175" fontId="0" fillId="0" borderId="14" xfId="0" applyNumberFormat="1" applyFont="1" applyBorder="1" applyAlignment="1" applyProtection="1">
      <alignment horizontal="center" vertical="center"/>
      <protection locked="0"/>
    </xf>
    <xf numFmtId="0" fontId="0" fillId="0" borderId="50"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55" xfId="0" applyFont="1" applyBorder="1" applyAlignment="1" applyProtection="1">
      <alignment horizontal="center" vertical="center"/>
      <protection locked="0"/>
    </xf>
    <xf numFmtId="1" fontId="0" fillId="0" borderId="55" xfId="0" applyNumberFormat="1" applyFont="1" applyBorder="1" applyAlignment="1" applyProtection="1">
      <alignment horizontal="center" vertical="center"/>
      <protection locked="0"/>
    </xf>
    <xf numFmtId="0" fontId="0" fillId="0" borderId="20" xfId="0"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3" fontId="0" fillId="0" borderId="55" xfId="0" applyNumberFormat="1" applyFont="1" applyBorder="1" applyAlignment="1" applyProtection="1">
      <alignment vertical="center"/>
      <protection locked="0"/>
    </xf>
    <xf numFmtId="0" fontId="0" fillId="0" borderId="55" xfId="0" applyFont="1" applyBorder="1" applyAlignment="1" applyProtection="1">
      <alignment vertical="center"/>
      <protection locked="0"/>
    </xf>
    <xf numFmtId="175" fontId="0" fillId="0" borderId="55"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0" fontId="0" fillId="0" borderId="0" xfId="0" applyFont="1" applyAlignment="1" applyProtection="1">
      <alignment horizontal="right"/>
      <protection locked="0"/>
    </xf>
    <xf numFmtId="0" fontId="0" fillId="0" borderId="50" xfId="0" applyFont="1" applyBorder="1" applyAlignment="1">
      <alignment horizontal="center"/>
    </xf>
    <xf numFmtId="0" fontId="0" fillId="0" borderId="51" xfId="0" applyFont="1" applyBorder="1" applyAlignment="1">
      <alignment horizontal="center"/>
    </xf>
    <xf numFmtId="0" fontId="0" fillId="0" borderId="0" xfId="0" applyFont="1" applyAlignment="1">
      <alignment vertical="center"/>
    </xf>
    <xf numFmtId="178" fontId="0" fillId="0" borderId="0" xfId="0" applyNumberFormat="1" applyFont="1" applyAlignment="1">
      <alignment horizontal="right" indent="1"/>
    </xf>
    <xf numFmtId="0" fontId="0" fillId="0" borderId="0" xfId="0" applyFont="1" applyAlignment="1">
      <alignment/>
    </xf>
    <xf numFmtId="0" fontId="0" fillId="0" borderId="35" xfId="0" applyFont="1" applyBorder="1" applyAlignment="1">
      <alignment/>
    </xf>
    <xf numFmtId="0" fontId="0" fillId="0" borderId="17" xfId="0" applyFont="1" applyBorder="1" applyAlignment="1">
      <alignment vertical="center"/>
    </xf>
    <xf numFmtId="0" fontId="0" fillId="0" borderId="35" xfId="0" applyFont="1" applyBorder="1" applyAlignment="1">
      <alignment vertical="center"/>
    </xf>
    <xf numFmtId="9" fontId="0" fillId="0" borderId="0" xfId="0" applyNumberFormat="1" applyFont="1" applyAlignment="1">
      <alignment/>
    </xf>
    <xf numFmtId="0" fontId="0" fillId="0" borderId="41" xfId="0" applyFont="1" applyBorder="1" applyAlignment="1">
      <alignment horizontal="center"/>
    </xf>
    <xf numFmtId="0" fontId="0" fillId="0" borderId="40" xfId="0" applyFont="1" applyBorder="1" applyAlignment="1">
      <alignment horizontal="center"/>
    </xf>
    <xf numFmtId="0" fontId="0" fillId="0" borderId="36" xfId="0" applyFont="1" applyBorder="1" applyAlignment="1" applyProtection="1">
      <alignment vertical="center" wrapText="1"/>
      <protection locked="0"/>
    </xf>
    <xf numFmtId="0" fontId="62" fillId="0" borderId="58" xfId="52" applyFont="1" applyBorder="1" applyProtection="1">
      <alignment/>
      <protection hidden="1"/>
    </xf>
    <xf numFmtId="0" fontId="0" fillId="0" borderId="0" xfId="52" applyFont="1" applyFill="1" applyBorder="1" applyAlignment="1" applyProtection="1">
      <alignment horizontal="left" vertical="top" wrapText="1"/>
      <protection hidden="1"/>
    </xf>
    <xf numFmtId="0" fontId="62" fillId="0" borderId="0" xfId="52" applyFont="1" applyAlignment="1" applyProtection="1">
      <alignment horizontal="right"/>
      <protection hidden="1"/>
    </xf>
    <xf numFmtId="0" fontId="62" fillId="0" borderId="0" xfId="52" applyFont="1" applyProtection="1">
      <alignment/>
      <protection hidden="1"/>
    </xf>
    <xf numFmtId="0" fontId="0" fillId="0" borderId="0" xfId="52" applyFont="1" applyFill="1" applyBorder="1" applyAlignment="1" applyProtection="1">
      <alignment horizontal="center"/>
      <protection hidden="1"/>
    </xf>
    <xf numFmtId="0" fontId="63" fillId="0" borderId="41" xfId="52" applyFont="1" applyBorder="1" applyProtection="1">
      <alignment/>
      <protection hidden="1"/>
    </xf>
    <xf numFmtId="0" fontId="62" fillId="0" borderId="59" xfId="52" applyFont="1" applyBorder="1" applyProtection="1">
      <alignment/>
      <protection hidden="1"/>
    </xf>
    <xf numFmtId="0" fontId="62" fillId="0" borderId="42" xfId="52" applyFont="1" applyBorder="1" applyProtection="1">
      <alignment/>
      <protection hidden="1"/>
    </xf>
    <xf numFmtId="0" fontId="0" fillId="0" borderId="10" xfId="52" applyFont="1" applyBorder="1" applyAlignment="1" applyProtection="1">
      <alignment horizontal="center"/>
      <protection hidden="1"/>
    </xf>
    <xf numFmtId="0" fontId="0" fillId="0" borderId="19" xfId="52" applyFont="1" applyBorder="1" applyAlignment="1" applyProtection="1">
      <alignment horizontal="center"/>
      <protection hidden="1"/>
    </xf>
    <xf numFmtId="0" fontId="62" fillId="0" borderId="44" xfId="52" applyFont="1" applyBorder="1" applyProtection="1">
      <alignment/>
      <protection hidden="1"/>
    </xf>
    <xf numFmtId="0" fontId="62" fillId="0" borderId="0" xfId="52" applyFont="1" applyBorder="1" applyProtection="1">
      <alignment/>
      <protection hidden="1"/>
    </xf>
    <xf numFmtId="0" fontId="62" fillId="0" borderId="45" xfId="52" applyFont="1" applyBorder="1" applyProtection="1">
      <alignment/>
      <protection hidden="1"/>
    </xf>
    <xf numFmtId="0" fontId="62" fillId="0" borderId="12" xfId="52" applyFont="1" applyBorder="1" applyAlignment="1" applyProtection="1">
      <alignment horizontal="center"/>
      <protection hidden="1"/>
    </xf>
    <xf numFmtId="0" fontId="62" fillId="0" borderId="23" xfId="52" applyFont="1" applyBorder="1" applyAlignment="1" applyProtection="1">
      <alignment horizontal="center"/>
      <protection hidden="1"/>
    </xf>
    <xf numFmtId="0" fontId="62" fillId="0" borderId="0" xfId="52" applyFont="1" applyFill="1" applyBorder="1" applyAlignment="1" applyProtection="1">
      <alignment horizontal="center"/>
      <protection hidden="1"/>
    </xf>
    <xf numFmtId="0" fontId="0" fillId="0" borderId="50" xfId="52" applyFont="1" applyFill="1" applyBorder="1" applyProtection="1">
      <alignment/>
      <protection hidden="1"/>
    </xf>
    <xf numFmtId="0" fontId="0" fillId="0" borderId="60" xfId="52" applyFont="1" applyFill="1" applyBorder="1" applyAlignment="1" applyProtection="1">
      <alignment horizontal="left"/>
      <protection hidden="1"/>
    </xf>
    <xf numFmtId="2" fontId="0" fillId="0" borderId="0" xfId="52" applyNumberFormat="1" applyFont="1" applyFill="1" applyBorder="1" applyAlignment="1" applyProtection="1">
      <alignment horizontal="center"/>
      <protection hidden="1"/>
    </xf>
    <xf numFmtId="0" fontId="62" fillId="0" borderId="44" xfId="52" applyFont="1" applyBorder="1" applyAlignment="1" applyProtection="1">
      <alignment horizontal="right"/>
      <protection hidden="1"/>
    </xf>
    <xf numFmtId="0" fontId="0" fillId="0" borderId="13" xfId="52" applyFont="1" applyFill="1" applyBorder="1" applyProtection="1">
      <alignment/>
      <protection hidden="1"/>
    </xf>
    <xf numFmtId="0" fontId="0" fillId="0" borderId="21" xfId="52" applyFont="1" applyFill="1" applyBorder="1" applyAlignment="1" applyProtection="1">
      <alignment horizontal="left"/>
      <protection hidden="1"/>
    </xf>
    <xf numFmtId="0" fontId="0" fillId="0" borderId="37" xfId="52" applyFont="1" applyFill="1" applyBorder="1" applyProtection="1">
      <alignment/>
      <protection hidden="1"/>
    </xf>
    <xf numFmtId="0" fontId="0" fillId="0" borderId="46" xfId="52" applyFont="1" applyFill="1" applyBorder="1" applyAlignment="1" applyProtection="1">
      <alignment horizontal="left"/>
      <protection hidden="1"/>
    </xf>
    <xf numFmtId="0" fontId="0" fillId="0" borderId="0" xfId="52" applyFont="1" applyFill="1" applyBorder="1" applyAlignment="1" applyProtection="1">
      <alignment horizontal="left"/>
      <protection hidden="1"/>
    </xf>
    <xf numFmtId="0" fontId="62" fillId="0" borderId="44" xfId="52" applyFont="1" applyBorder="1" applyAlignment="1" applyProtection="1">
      <alignment horizontal="left"/>
      <protection hidden="1"/>
    </xf>
    <xf numFmtId="180" fontId="0" fillId="0" borderId="0" xfId="48" applyNumberFormat="1" applyFont="1" applyBorder="1" applyAlignment="1" applyProtection="1">
      <alignment/>
      <protection hidden="1"/>
    </xf>
    <xf numFmtId="0" fontId="62" fillId="0" borderId="37" xfId="52" applyFont="1" applyBorder="1" applyAlignment="1" applyProtection="1">
      <alignment horizontal="right"/>
      <protection hidden="1"/>
    </xf>
    <xf numFmtId="0" fontId="62" fillId="0" borderId="61" xfId="52" applyFont="1" applyBorder="1" applyProtection="1">
      <alignment/>
      <protection hidden="1"/>
    </xf>
    <xf numFmtId="0" fontId="62" fillId="0" borderId="0" xfId="52" applyFont="1" applyFill="1" applyBorder="1" applyProtection="1">
      <alignment/>
      <protection hidden="1"/>
    </xf>
    <xf numFmtId="0" fontId="62" fillId="0" borderId="0" xfId="52" applyFont="1" applyBorder="1" applyAlignment="1" applyProtection="1">
      <alignment horizontal="right"/>
      <protection hidden="1"/>
    </xf>
    <xf numFmtId="0" fontId="62" fillId="0" borderId="0" xfId="52" applyFont="1" applyFill="1" applyBorder="1" applyAlignment="1" applyProtection="1">
      <alignment horizontal="right"/>
      <protection hidden="1"/>
    </xf>
    <xf numFmtId="0" fontId="62" fillId="0" borderId="0" xfId="52" applyFont="1" applyAlignment="1" applyProtection="1">
      <alignment vertical="top" wrapText="1"/>
      <protection hidden="1"/>
    </xf>
    <xf numFmtId="0" fontId="62" fillId="0" borderId="0" xfId="52" applyFont="1" applyFill="1" applyProtection="1">
      <alignment/>
      <protection hidden="1"/>
    </xf>
    <xf numFmtId="2" fontId="62" fillId="0" borderId="0" xfId="46" applyNumberFormat="1" applyFont="1" applyBorder="1" applyAlignment="1" applyProtection="1">
      <alignment/>
      <protection hidden="1"/>
    </xf>
    <xf numFmtId="180" fontId="0" fillId="0" borderId="0" xfId="48" applyNumberFormat="1" applyFont="1" applyFill="1" applyBorder="1" applyAlignment="1" applyProtection="1">
      <alignment/>
      <protection hidden="1"/>
    </xf>
    <xf numFmtId="0" fontId="64" fillId="0" borderId="0" xfId="52" applyFont="1" applyFill="1" applyAlignment="1" applyProtection="1">
      <alignment horizontal="center" vertical="center"/>
      <protection hidden="1"/>
    </xf>
    <xf numFmtId="0" fontId="62" fillId="0" borderId="41" xfId="52" applyFont="1" applyBorder="1" applyProtection="1">
      <alignment/>
      <protection hidden="1"/>
    </xf>
    <xf numFmtId="0" fontId="65" fillId="0" borderId="44" xfId="52" applyFont="1" applyBorder="1" applyAlignment="1" applyProtection="1">
      <alignment horizontal="right"/>
      <protection hidden="1"/>
    </xf>
    <xf numFmtId="0" fontId="63" fillId="0" borderId="0" xfId="52" applyFont="1" applyBorder="1" applyProtection="1">
      <alignment/>
      <protection hidden="1"/>
    </xf>
    <xf numFmtId="0" fontId="63" fillId="0" borderId="0" xfId="52" applyFont="1" applyProtection="1">
      <alignment/>
      <protection hidden="1"/>
    </xf>
    <xf numFmtId="0" fontId="63" fillId="0" borderId="0" xfId="52" applyFont="1" applyAlignment="1" applyProtection="1">
      <alignment horizontal="center"/>
      <protection hidden="1"/>
    </xf>
    <xf numFmtId="0" fontId="0" fillId="0" borderId="0" xfId="52" applyFont="1" applyBorder="1" applyAlignment="1" applyProtection="1">
      <alignment vertical="center"/>
      <protection hidden="1"/>
    </xf>
    <xf numFmtId="43" fontId="62" fillId="0" borderId="0" xfId="46" applyFont="1" applyAlignment="1" applyProtection="1">
      <alignment/>
      <protection hidden="1"/>
    </xf>
    <xf numFmtId="2" fontId="62" fillId="0" borderId="0" xfId="52" applyNumberFormat="1" applyFont="1" applyFill="1" applyBorder="1" applyAlignment="1" applyProtection="1">
      <alignment horizontal="right"/>
      <protection hidden="1"/>
    </xf>
    <xf numFmtId="43" fontId="62" fillId="0" borderId="0" xfId="52" applyNumberFormat="1" applyFont="1" applyProtection="1">
      <alignment/>
      <protection hidden="1"/>
    </xf>
    <xf numFmtId="0" fontId="65" fillId="0" borderId="45" xfId="52" applyFont="1" applyBorder="1" applyAlignment="1" applyProtection="1">
      <alignment horizontal="left"/>
      <protection hidden="1"/>
    </xf>
    <xf numFmtId="0" fontId="63" fillId="0" borderId="10" xfId="52" applyFont="1" applyBorder="1" applyAlignment="1" applyProtection="1">
      <alignment horizontal="center"/>
      <protection hidden="1"/>
    </xf>
    <xf numFmtId="0" fontId="63" fillId="0" borderId="12" xfId="52" applyFont="1" applyBorder="1" applyAlignment="1" applyProtection="1">
      <alignment horizontal="center"/>
      <protection hidden="1"/>
    </xf>
    <xf numFmtId="0" fontId="63" fillId="0" borderId="45" xfId="52" applyFont="1" applyFill="1" applyBorder="1" applyAlignment="1" applyProtection="1">
      <alignment horizontal="center"/>
      <protection hidden="1"/>
    </xf>
    <xf numFmtId="0" fontId="63" fillId="0" borderId="32" xfId="52" applyFont="1" applyBorder="1" applyAlignment="1" applyProtection="1">
      <alignment horizontal="center"/>
      <protection hidden="1"/>
    </xf>
    <xf numFmtId="43" fontId="62" fillId="0" borderId="10" xfId="46" applyFont="1" applyBorder="1" applyAlignment="1" applyProtection="1">
      <alignment horizontal="center"/>
      <protection hidden="1"/>
    </xf>
    <xf numFmtId="0" fontId="62" fillId="0" borderId="45" xfId="52" applyFont="1" applyFill="1" applyBorder="1" applyAlignment="1" applyProtection="1">
      <alignment horizontal="center"/>
      <protection hidden="1"/>
    </xf>
    <xf numFmtId="0" fontId="62" fillId="0" borderId="45" xfId="52" applyFont="1" applyFill="1" applyBorder="1" applyProtection="1">
      <alignment/>
      <protection hidden="1"/>
    </xf>
    <xf numFmtId="0" fontId="62" fillId="0" borderId="46" xfId="52" applyFont="1" applyBorder="1" applyProtection="1">
      <alignment/>
      <protection hidden="1"/>
    </xf>
    <xf numFmtId="0" fontId="62" fillId="0" borderId="41" xfId="52" applyFont="1" applyBorder="1" applyAlignment="1" applyProtection="1">
      <alignment horizontal="right"/>
      <protection hidden="1"/>
    </xf>
    <xf numFmtId="0" fontId="63" fillId="0" borderId="18" xfId="52" applyFont="1" applyBorder="1" applyProtection="1">
      <alignment/>
      <protection hidden="1"/>
    </xf>
    <xf numFmtId="0" fontId="62" fillId="0" borderId="55" xfId="52" applyFont="1" applyBorder="1" applyProtection="1">
      <alignment/>
      <protection hidden="1"/>
    </xf>
    <xf numFmtId="0" fontId="62" fillId="0" borderId="62" xfId="52" applyFont="1" applyBorder="1" applyProtection="1">
      <alignment/>
      <protection hidden="1"/>
    </xf>
    <xf numFmtId="0" fontId="63" fillId="0" borderId="48" xfId="0" applyFont="1" applyBorder="1" applyAlignment="1" applyProtection="1">
      <alignment horizontal="right"/>
      <protection hidden="1"/>
    </xf>
    <xf numFmtId="0" fontId="62" fillId="0" borderId="54" xfId="0" applyFont="1" applyBorder="1" applyAlignment="1" applyProtection="1">
      <alignment/>
      <protection hidden="1"/>
    </xf>
    <xf numFmtId="0" fontId="62" fillId="0" borderId="63" xfId="52" applyFont="1" applyBorder="1" applyProtection="1">
      <alignment/>
      <protection hidden="1"/>
    </xf>
    <xf numFmtId="0" fontId="62" fillId="0" borderId="21" xfId="0" applyFont="1" applyBorder="1" applyAlignment="1" applyProtection="1">
      <alignment/>
      <protection hidden="1"/>
    </xf>
    <xf numFmtId="0" fontId="63" fillId="0" borderId="48" xfId="0" applyFont="1" applyFill="1" applyBorder="1" applyAlignment="1" applyProtection="1">
      <alignment horizontal="right"/>
      <protection hidden="1"/>
    </xf>
    <xf numFmtId="2" fontId="62" fillId="0" borderId="0" xfId="0" applyNumberFormat="1" applyFont="1" applyFill="1" applyBorder="1" applyAlignment="1" applyProtection="1">
      <alignment/>
      <protection hidden="1"/>
    </xf>
    <xf numFmtId="0" fontId="62" fillId="0" borderId="0" xfId="0" applyFont="1" applyFill="1" applyBorder="1" applyAlignment="1" applyProtection="1">
      <alignment/>
      <protection hidden="1"/>
    </xf>
    <xf numFmtId="0" fontId="62" fillId="0" borderId="63" xfId="52" applyFont="1" applyFill="1" applyBorder="1" applyProtection="1">
      <alignment/>
      <protection hidden="1"/>
    </xf>
    <xf numFmtId="0" fontId="62" fillId="0" borderId="49" xfId="52" applyFont="1" applyBorder="1" applyProtection="1">
      <alignment/>
      <protection hidden="1"/>
    </xf>
    <xf numFmtId="0" fontId="62" fillId="0" borderId="54" xfId="52" applyFont="1" applyBorder="1" applyProtection="1">
      <alignment/>
      <protection hidden="1"/>
    </xf>
    <xf numFmtId="0" fontId="62" fillId="0" borderId="31" xfId="52" applyFont="1" applyBorder="1" applyProtection="1">
      <alignment/>
      <protection hidden="1"/>
    </xf>
    <xf numFmtId="0" fontId="63" fillId="0" borderId="49" xfId="0" applyFont="1" applyBorder="1" applyAlignment="1" applyProtection="1">
      <alignment horizontal="right"/>
      <protection hidden="1"/>
    </xf>
    <xf numFmtId="2" fontId="62" fillId="0" borderId="54" xfId="0" applyNumberFormat="1" applyFont="1" applyFill="1" applyBorder="1" applyAlignment="1" applyProtection="1">
      <alignment/>
      <protection hidden="1"/>
    </xf>
    <xf numFmtId="0" fontId="62" fillId="0" borderId="0" xfId="52" applyFont="1" applyBorder="1" applyProtection="1">
      <alignment/>
      <protection hidden="1" locked="0"/>
    </xf>
    <xf numFmtId="0" fontId="62" fillId="0" borderId="0" xfId="52" applyFont="1" applyProtection="1">
      <alignment/>
      <protection locked="0"/>
    </xf>
    <xf numFmtId="2" fontId="62" fillId="13" borderId="0" xfId="46" applyNumberFormat="1" applyFont="1" applyFill="1" applyBorder="1" applyAlignment="1" applyProtection="1">
      <alignment/>
      <protection locked="0"/>
    </xf>
    <xf numFmtId="2" fontId="62" fillId="13" borderId="46" xfId="46" applyNumberFormat="1" applyFont="1" applyFill="1" applyBorder="1" applyAlignment="1" applyProtection="1">
      <alignment/>
      <protection locked="0"/>
    </xf>
    <xf numFmtId="0" fontId="62" fillId="13" borderId="0" xfId="52" applyFont="1" applyFill="1" applyBorder="1" applyAlignment="1" applyProtection="1">
      <alignment horizontal="right"/>
      <protection locked="0"/>
    </xf>
    <xf numFmtId="0" fontId="62" fillId="13" borderId="0" xfId="52" applyFont="1" applyFill="1" applyBorder="1" applyProtection="1">
      <alignment/>
      <protection locked="0"/>
    </xf>
    <xf numFmtId="1" fontId="62" fillId="13" borderId="46" xfId="46" applyNumberFormat="1" applyFont="1" applyFill="1" applyBorder="1" applyAlignment="1" applyProtection="1">
      <alignment/>
      <protection locked="0"/>
    </xf>
    <xf numFmtId="0" fontId="62" fillId="13" borderId="10" xfId="52" applyFont="1" applyFill="1" applyBorder="1" applyAlignment="1" applyProtection="1">
      <alignment horizontal="center"/>
      <protection locked="0"/>
    </xf>
    <xf numFmtId="167" fontId="62" fillId="13" borderId="10" xfId="53" applyNumberFormat="1" applyFont="1" applyFill="1" applyBorder="1" applyAlignment="1" applyProtection="1">
      <alignment horizontal="center"/>
      <protection locked="0"/>
    </xf>
    <xf numFmtId="0" fontId="59" fillId="0" borderId="0" xfId="52" applyFont="1" applyProtection="1">
      <alignment/>
      <protection hidden="1"/>
    </xf>
    <xf numFmtId="0" fontId="0" fillId="0" borderId="0" xfId="52" applyFont="1" applyAlignment="1" applyProtection="1">
      <alignment horizontal="center"/>
      <protection hidden="1"/>
    </xf>
    <xf numFmtId="0" fontId="0" fillId="0" borderId="0" xfId="52" applyFont="1" applyProtection="1">
      <alignment/>
      <protection hidden="1"/>
    </xf>
    <xf numFmtId="0" fontId="0" fillId="0" borderId="0" xfId="52" applyFont="1" applyProtection="1">
      <alignment/>
      <protection hidden="1"/>
    </xf>
    <xf numFmtId="0" fontId="59" fillId="0" borderId="39" xfId="52" applyFont="1" applyBorder="1" applyProtection="1">
      <alignment/>
      <protection hidden="1"/>
    </xf>
    <xf numFmtId="0" fontId="59" fillId="0" borderId="64" xfId="52" applyFont="1" applyBorder="1" applyAlignment="1" applyProtection="1">
      <alignment horizontal="center"/>
      <protection hidden="1"/>
    </xf>
    <xf numFmtId="0" fontId="59" fillId="0" borderId="34" xfId="52" applyFont="1" applyBorder="1" applyAlignment="1" applyProtection="1">
      <alignment horizontal="center"/>
      <protection hidden="1"/>
    </xf>
    <xf numFmtId="0" fontId="59" fillId="0" borderId="65" xfId="52" applyFont="1" applyBorder="1" applyAlignment="1" applyProtection="1">
      <alignment horizontal="center"/>
      <protection hidden="1"/>
    </xf>
    <xf numFmtId="0" fontId="59" fillId="0" borderId="15" xfId="52" applyFont="1" applyBorder="1" applyProtection="1">
      <alignment/>
      <protection hidden="1"/>
    </xf>
    <xf numFmtId="0" fontId="59" fillId="0" borderId="66" xfId="52" applyFont="1" applyBorder="1" applyAlignment="1" applyProtection="1">
      <alignment horizontal="center"/>
      <protection hidden="1"/>
    </xf>
    <xf numFmtId="0" fontId="59" fillId="0" borderId="38" xfId="52" applyFont="1" applyBorder="1" applyAlignment="1" applyProtection="1">
      <alignment horizontal="center"/>
      <protection hidden="1"/>
    </xf>
    <xf numFmtId="0" fontId="59" fillId="0" borderId="67" xfId="52" applyFont="1" applyBorder="1" applyAlignment="1" applyProtection="1">
      <alignment horizontal="center"/>
      <protection hidden="1"/>
    </xf>
    <xf numFmtId="0" fontId="59" fillId="0" borderId="35" xfId="52" applyFont="1" applyBorder="1" applyAlignment="1" applyProtection="1">
      <alignment horizontal="center"/>
      <protection hidden="1"/>
    </xf>
    <xf numFmtId="0" fontId="66" fillId="0" borderId="68" xfId="52" applyFont="1" applyBorder="1" applyProtection="1">
      <alignment/>
      <protection hidden="1"/>
    </xf>
    <xf numFmtId="0" fontId="0" fillId="0" borderId="36" xfId="52" applyFont="1" applyBorder="1" applyAlignment="1" applyProtection="1">
      <alignment vertical="center"/>
      <protection hidden="1"/>
    </xf>
    <xf numFmtId="0" fontId="0" fillId="0" borderId="32" xfId="52" applyFont="1" applyBorder="1" applyAlignment="1" applyProtection="1">
      <alignment horizontal="center" vertical="center"/>
      <protection hidden="1"/>
    </xf>
    <xf numFmtId="43" fontId="0" fillId="0" borderId="32" xfId="48" applyFont="1" applyBorder="1" applyAlignment="1" applyProtection="1">
      <alignment horizontal="right" vertical="center"/>
      <protection hidden="1"/>
    </xf>
    <xf numFmtId="43" fontId="0" fillId="0" borderId="49" xfId="48" applyFont="1" applyBorder="1" applyAlignment="1" applyProtection="1">
      <alignment horizontal="right" vertical="center"/>
      <protection hidden="1"/>
    </xf>
    <xf numFmtId="43" fontId="0" fillId="0" borderId="36" xfId="52" applyNumberFormat="1" applyFont="1" applyBorder="1" applyAlignment="1" applyProtection="1">
      <alignment horizontal="center" vertical="center"/>
      <protection hidden="1"/>
    </xf>
    <xf numFmtId="167" fontId="0" fillId="0" borderId="53" xfId="53" applyNumberFormat="1" applyFont="1" applyBorder="1" applyAlignment="1" applyProtection="1">
      <alignment horizontal="right" vertical="center" indent="2"/>
      <protection hidden="1"/>
    </xf>
    <xf numFmtId="0" fontId="0" fillId="0" borderId="0" xfId="52" applyFont="1" applyAlignment="1" applyProtection="1">
      <alignment vertical="center"/>
      <protection hidden="1"/>
    </xf>
    <xf numFmtId="0" fontId="0" fillId="0" borderId="17" xfId="52" applyFont="1" applyBorder="1" applyAlignment="1" applyProtection="1">
      <alignment vertical="center"/>
      <protection hidden="1"/>
    </xf>
    <xf numFmtId="0" fontId="0" fillId="0" borderId="10" xfId="52" applyFont="1" applyBorder="1" applyAlignment="1" applyProtection="1">
      <alignment horizontal="center" vertical="center"/>
      <protection hidden="1"/>
    </xf>
    <xf numFmtId="43" fontId="0" fillId="0" borderId="10" xfId="48" applyFont="1" applyBorder="1" applyAlignment="1" applyProtection="1">
      <alignment horizontal="right" vertical="center"/>
      <protection hidden="1"/>
    </xf>
    <xf numFmtId="43" fontId="0" fillId="0" borderId="24" xfId="48" applyFont="1" applyBorder="1" applyAlignment="1" applyProtection="1">
      <alignment horizontal="right" vertical="center"/>
      <protection hidden="1"/>
    </xf>
    <xf numFmtId="43" fontId="0" fillId="0" borderId="17" xfId="52" applyNumberFormat="1" applyFont="1" applyBorder="1" applyAlignment="1" applyProtection="1">
      <alignment horizontal="center" vertical="center"/>
      <protection hidden="1"/>
    </xf>
    <xf numFmtId="167" fontId="0" fillId="0" borderId="19" xfId="53" applyNumberFormat="1" applyFont="1" applyBorder="1" applyAlignment="1" applyProtection="1">
      <alignment horizontal="right" vertical="center" indent="2"/>
      <protection hidden="1"/>
    </xf>
    <xf numFmtId="43" fontId="0" fillId="0" borderId="0" xfId="52" applyNumberFormat="1" applyFont="1" applyAlignment="1" applyProtection="1">
      <alignment vertical="center"/>
      <protection hidden="1"/>
    </xf>
    <xf numFmtId="43" fontId="0" fillId="0" borderId="24" xfId="52" applyNumberFormat="1" applyFont="1" applyBorder="1" applyAlignment="1" applyProtection="1">
      <alignment vertical="center"/>
      <protection hidden="1"/>
    </xf>
    <xf numFmtId="0" fontId="0" fillId="0" borderId="35" xfId="52" applyFont="1" applyBorder="1" applyAlignment="1" applyProtection="1">
      <alignment vertical="center"/>
      <protection hidden="1"/>
    </xf>
    <xf numFmtId="0" fontId="0" fillId="0" borderId="38" xfId="52" applyFont="1" applyBorder="1" applyAlignment="1" applyProtection="1">
      <alignment horizontal="center" vertical="center"/>
      <protection hidden="1"/>
    </xf>
    <xf numFmtId="43" fontId="0" fillId="0" borderId="38" xfId="48" applyFont="1" applyBorder="1" applyAlignment="1" applyProtection="1">
      <alignment horizontal="right" vertical="center"/>
      <protection hidden="1"/>
    </xf>
    <xf numFmtId="43" fontId="0" fillId="0" borderId="67" xfId="52" applyNumberFormat="1" applyFont="1" applyBorder="1" applyAlignment="1" applyProtection="1">
      <alignment horizontal="center" vertical="center"/>
      <protection hidden="1"/>
    </xf>
    <xf numFmtId="43" fontId="0" fillId="0" borderId="35" xfId="52" applyNumberFormat="1" applyFont="1" applyBorder="1" applyAlignment="1" applyProtection="1">
      <alignment horizontal="center" vertical="center"/>
      <protection hidden="1"/>
    </xf>
    <xf numFmtId="167" fontId="0" fillId="0" borderId="68" xfId="53" applyNumberFormat="1" applyFont="1" applyBorder="1" applyAlignment="1" applyProtection="1">
      <alignment horizontal="right" vertical="center" indent="2"/>
      <protection hidden="1"/>
    </xf>
    <xf numFmtId="43" fontId="0" fillId="0" borderId="0" xfId="48" applyFont="1" applyAlignment="1" applyProtection="1">
      <alignment horizontal="right" vertical="center"/>
      <protection hidden="1"/>
    </xf>
    <xf numFmtId="0" fontId="0" fillId="0" borderId="0" xfId="52" applyFont="1" applyBorder="1" applyAlignment="1" applyProtection="1">
      <alignment horizontal="center" vertical="center"/>
      <protection hidden="1"/>
    </xf>
    <xf numFmtId="43" fontId="0" fillId="0" borderId="0" xfId="48" applyFont="1" applyBorder="1" applyAlignment="1" applyProtection="1">
      <alignment horizontal="right" vertical="center"/>
      <protection hidden="1"/>
    </xf>
    <xf numFmtId="43" fontId="0" fillId="0" borderId="0" xfId="52" applyNumberFormat="1" applyFont="1" applyBorder="1" applyAlignment="1" applyProtection="1">
      <alignment horizontal="center" vertical="center"/>
      <protection hidden="1"/>
    </xf>
    <xf numFmtId="0" fontId="0" fillId="0" borderId="0" xfId="52" applyFont="1" applyAlignment="1" applyProtection="1">
      <alignment horizontal="center" vertical="center"/>
      <protection hidden="1"/>
    </xf>
    <xf numFmtId="0" fontId="0" fillId="0" borderId="24" xfId="0" applyBorder="1" applyAlignment="1" applyProtection="1">
      <alignment horizontal="right"/>
      <protection hidden="1"/>
    </xf>
    <xf numFmtId="0" fontId="0" fillId="0" borderId="0" xfId="52" applyFont="1" applyAlignment="1" applyProtection="1">
      <alignment vertical="top" wrapText="1"/>
      <protection hidden="1"/>
    </xf>
    <xf numFmtId="0" fontId="0" fillId="0" borderId="0" xfId="52" applyFont="1" applyAlignment="1" applyProtection="1">
      <alignment vertical="top"/>
      <protection hidden="1"/>
    </xf>
    <xf numFmtId="0" fontId="0" fillId="0" borderId="24" xfId="52" applyFont="1" applyBorder="1" applyAlignment="1" applyProtection="1">
      <alignment horizontal="right"/>
      <protection hidden="1"/>
    </xf>
    <xf numFmtId="0" fontId="0" fillId="0" borderId="18" xfId="52" applyFont="1" applyBorder="1" applyProtection="1">
      <alignment/>
      <protection hidden="1"/>
    </xf>
    <xf numFmtId="0" fontId="0" fillId="0" borderId="55" xfId="52" applyFont="1" applyBorder="1" applyAlignment="1" applyProtection="1">
      <alignment horizontal="center"/>
      <protection hidden="1"/>
    </xf>
    <xf numFmtId="0" fontId="0" fillId="0" borderId="55" xfId="52" applyFont="1" applyBorder="1" applyProtection="1">
      <alignment/>
      <protection hidden="1"/>
    </xf>
    <xf numFmtId="0" fontId="0" fillId="0" borderId="62" xfId="52" applyFont="1" applyBorder="1" applyProtection="1">
      <alignment/>
      <protection hidden="1"/>
    </xf>
    <xf numFmtId="0" fontId="0" fillId="0" borderId="48" xfId="52" applyFont="1" applyBorder="1" applyProtection="1">
      <alignment/>
      <protection hidden="1"/>
    </xf>
    <xf numFmtId="0" fontId="0" fillId="0" borderId="0" xfId="52" applyFont="1" applyBorder="1" applyAlignment="1" applyProtection="1">
      <alignment horizontal="center"/>
      <protection hidden="1"/>
    </xf>
    <xf numFmtId="0" fontId="0" fillId="0" borderId="0" xfId="52" applyFont="1" applyBorder="1" applyProtection="1">
      <alignment/>
      <protection hidden="1"/>
    </xf>
    <xf numFmtId="0" fontId="0" fillId="0" borderId="63" xfId="52" applyFont="1" applyBorder="1" applyProtection="1">
      <alignment/>
      <protection hidden="1"/>
    </xf>
    <xf numFmtId="0" fontId="0" fillId="0" borderId="49" xfId="52" applyFont="1" applyBorder="1" applyProtection="1">
      <alignment/>
      <protection hidden="1"/>
    </xf>
    <xf numFmtId="0" fontId="0" fillId="0" borderId="54" xfId="52" applyFont="1" applyBorder="1" applyAlignment="1" applyProtection="1">
      <alignment horizontal="center"/>
      <protection hidden="1"/>
    </xf>
    <xf numFmtId="0" fontId="0" fillId="0" borderId="54" xfId="52" applyFont="1" applyBorder="1" applyProtection="1">
      <alignment/>
      <protection hidden="1"/>
    </xf>
    <xf numFmtId="0" fontId="0" fillId="0" borderId="31" xfId="52" applyFont="1" applyBorder="1" applyProtection="1">
      <alignment/>
      <protection hidden="1"/>
    </xf>
    <xf numFmtId="0" fontId="63" fillId="0" borderId="39" xfId="0" applyFont="1" applyBorder="1" applyAlignment="1" applyProtection="1">
      <alignment horizontal="center"/>
      <protection hidden="1"/>
    </xf>
    <xf numFmtId="0" fontId="63" fillId="0" borderId="65" xfId="0" applyFont="1" applyBorder="1" applyAlignment="1" applyProtection="1">
      <alignment horizontal="center"/>
      <protection hidden="1"/>
    </xf>
    <xf numFmtId="0" fontId="63" fillId="0" borderId="15" xfId="0" applyFont="1" applyBorder="1" applyAlignment="1" applyProtection="1">
      <alignment horizontal="center"/>
      <protection hidden="1"/>
    </xf>
    <xf numFmtId="0" fontId="63" fillId="0" borderId="67" xfId="0" applyFont="1" applyBorder="1" applyAlignment="1" applyProtection="1">
      <alignment horizontal="center"/>
      <protection hidden="1"/>
    </xf>
    <xf numFmtId="9" fontId="62" fillId="0" borderId="17" xfId="53" applyFont="1" applyBorder="1" applyAlignment="1" applyProtection="1">
      <alignment horizontal="center"/>
      <protection hidden="1"/>
    </xf>
    <xf numFmtId="43" fontId="62" fillId="0" borderId="24" xfId="0" applyNumberFormat="1" applyFont="1" applyBorder="1" applyAlignment="1" applyProtection="1">
      <alignment/>
      <protection hidden="1"/>
    </xf>
    <xf numFmtId="43" fontId="62" fillId="0" borderId="24" xfId="48" applyFont="1" applyBorder="1" applyAlignment="1" applyProtection="1">
      <alignment/>
      <protection hidden="1"/>
    </xf>
    <xf numFmtId="43" fontId="0" fillId="0" borderId="36" xfId="52" applyNumberFormat="1" applyFont="1" applyBorder="1" applyProtection="1">
      <alignment/>
      <protection hidden="1"/>
    </xf>
    <xf numFmtId="167" fontId="0" fillId="0" borderId="53" xfId="53" applyNumberFormat="1" applyFont="1" applyBorder="1" applyAlignment="1" applyProtection="1">
      <alignment horizontal="center"/>
      <protection hidden="1"/>
    </xf>
    <xf numFmtId="43" fontId="0" fillId="0" borderId="17" xfId="52" applyNumberFormat="1" applyFont="1" applyBorder="1" applyProtection="1">
      <alignment/>
      <protection hidden="1"/>
    </xf>
    <xf numFmtId="167" fontId="0" fillId="0" borderId="19" xfId="53" applyNumberFormat="1" applyFont="1" applyBorder="1" applyAlignment="1" applyProtection="1">
      <alignment horizontal="center"/>
      <protection hidden="1"/>
    </xf>
    <xf numFmtId="2" fontId="0" fillId="0" borderId="0" xfId="52" applyNumberFormat="1" applyFont="1" applyProtection="1">
      <alignment/>
      <protection hidden="1"/>
    </xf>
    <xf numFmtId="9" fontId="62" fillId="0" borderId="35" xfId="53" applyFont="1" applyBorder="1" applyAlignment="1" applyProtection="1">
      <alignment horizontal="center"/>
      <protection hidden="1"/>
    </xf>
    <xf numFmtId="43" fontId="62" fillId="0" borderId="67" xfId="0" applyNumberFormat="1" applyFont="1" applyBorder="1" applyAlignment="1" applyProtection="1">
      <alignment/>
      <protection hidden="1"/>
    </xf>
    <xf numFmtId="43" fontId="62" fillId="0" borderId="67" xfId="48" applyFont="1" applyBorder="1" applyAlignment="1" applyProtection="1">
      <alignment/>
      <protection hidden="1"/>
    </xf>
    <xf numFmtId="43" fontId="0" fillId="0" borderId="35" xfId="52" applyNumberFormat="1" applyFont="1" applyBorder="1" applyProtection="1">
      <alignment/>
      <protection hidden="1"/>
    </xf>
    <xf numFmtId="167" fontId="0" fillId="0" borderId="68" xfId="53" applyNumberFormat="1" applyFont="1" applyBorder="1" applyAlignment="1" applyProtection="1">
      <alignment horizontal="center"/>
      <protection hidden="1"/>
    </xf>
    <xf numFmtId="0" fontId="62" fillId="0" borderId="0" xfId="0" applyFont="1" applyAlignment="1" applyProtection="1">
      <alignment horizontal="center"/>
      <protection hidden="1"/>
    </xf>
    <xf numFmtId="0" fontId="63" fillId="0" borderId="0" xfId="0" applyFont="1" applyBorder="1" applyAlignment="1" applyProtection="1">
      <alignment horizontal="right"/>
      <protection hidden="1"/>
    </xf>
    <xf numFmtId="0" fontId="62" fillId="0" borderId="0" xfId="0" applyFont="1" applyAlignment="1" applyProtection="1">
      <alignment horizontal="right"/>
      <protection hidden="1"/>
    </xf>
    <xf numFmtId="43" fontId="0" fillId="0" borderId="0" xfId="48" applyFont="1" applyAlignment="1" applyProtection="1">
      <alignment/>
      <protection hidden="1"/>
    </xf>
    <xf numFmtId="165" fontId="62" fillId="19" borderId="54" xfId="0" applyNumberFormat="1" applyFont="1" applyFill="1" applyBorder="1" applyAlignment="1" applyProtection="1">
      <alignment/>
      <protection locked="0"/>
    </xf>
    <xf numFmtId="165" fontId="62" fillId="19" borderId="54" xfId="0" applyNumberFormat="1" applyFont="1" applyFill="1" applyBorder="1" applyAlignment="1" applyProtection="1">
      <alignment/>
      <protection locked="0"/>
    </xf>
    <xf numFmtId="175" fontId="0" fillId="0" borderId="54" xfId="0" applyNumberFormat="1" applyFont="1" applyBorder="1" applyAlignment="1" applyProtection="1">
      <alignment vertical="center"/>
      <protection hidden="1"/>
    </xf>
    <xf numFmtId="167" fontId="0" fillId="0" borderId="17" xfId="53" applyNumberFormat="1" applyFont="1" applyBorder="1" applyAlignment="1" applyProtection="1">
      <alignment horizontal="center" vertical="center"/>
      <protection hidden="1"/>
    </xf>
    <xf numFmtId="168" fontId="0" fillId="0" borderId="19" xfId="0" applyNumberFormat="1" applyFont="1" applyBorder="1" applyAlignment="1" applyProtection="1">
      <alignment vertical="center"/>
      <protection hidden="1"/>
    </xf>
    <xf numFmtId="172" fontId="0" fillId="0" borderId="17" xfId="46" applyNumberFormat="1" applyFont="1" applyFill="1" applyBorder="1" applyAlignment="1" applyProtection="1">
      <alignment horizontal="center" vertical="center"/>
      <protection hidden="1"/>
    </xf>
    <xf numFmtId="3" fontId="0" fillId="0" borderId="10" xfId="0" applyNumberFormat="1" applyFont="1" applyFill="1" applyBorder="1" applyAlignment="1" applyProtection="1">
      <alignment horizontal="center" vertical="center"/>
      <protection hidden="1"/>
    </xf>
    <xf numFmtId="1" fontId="0" fillId="0" borderId="13" xfId="0" applyNumberFormat="1" applyFont="1" applyBorder="1" applyAlignment="1" applyProtection="1">
      <alignment horizontal="center" vertical="center"/>
      <protection hidden="1"/>
    </xf>
    <xf numFmtId="164" fontId="0" fillId="0" borderId="13" xfId="0" applyNumberFormat="1" applyFont="1" applyBorder="1" applyAlignment="1" applyProtection="1">
      <alignment horizontal="center" vertical="center"/>
      <protection hidden="1"/>
    </xf>
    <xf numFmtId="3" fontId="0" fillId="0" borderId="17" xfId="0" applyNumberFormat="1" applyFont="1" applyFill="1" applyBorder="1" applyAlignment="1" applyProtection="1">
      <alignment horizontal="center" vertical="center"/>
      <protection hidden="1"/>
    </xf>
    <xf numFmtId="169" fontId="0" fillId="0" borderId="36" xfId="0" applyNumberFormat="1" applyFont="1" applyBorder="1" applyAlignment="1" applyProtection="1">
      <alignment horizontal="center" vertical="center"/>
      <protection hidden="1"/>
    </xf>
    <xf numFmtId="175" fontId="0" fillId="0" borderId="21" xfId="0" applyNumberFormat="1" applyFont="1" applyBorder="1" applyAlignment="1" applyProtection="1">
      <alignment vertical="center"/>
      <protection hidden="1"/>
    </xf>
    <xf numFmtId="1" fontId="0" fillId="0" borderId="10" xfId="0" applyNumberFormat="1" applyFont="1" applyFill="1" applyBorder="1" applyAlignment="1" applyProtection="1">
      <alignment horizontal="center" vertical="center"/>
      <protection hidden="1"/>
    </xf>
    <xf numFmtId="1" fontId="0" fillId="0" borderId="53" xfId="0" applyNumberFormat="1" applyFont="1" applyBorder="1" applyAlignment="1" applyProtection="1">
      <alignment horizontal="center" vertical="center"/>
      <protection hidden="1"/>
    </xf>
    <xf numFmtId="0" fontId="0" fillId="0" borderId="0" xfId="0" applyFont="1" applyAlignment="1" applyProtection="1">
      <alignment/>
      <protection hidden="1"/>
    </xf>
    <xf numFmtId="167" fontId="0" fillId="13" borderId="53" xfId="0" applyNumberFormat="1" applyFont="1" applyFill="1" applyBorder="1" applyAlignment="1" applyProtection="1">
      <alignment horizontal="center" vertical="center"/>
      <protection hidden="1"/>
    </xf>
    <xf numFmtId="167" fontId="0" fillId="0" borderId="19" xfId="0" applyNumberFormat="1" applyFont="1" applyBorder="1" applyAlignment="1" applyProtection="1">
      <alignment horizontal="center" vertical="center"/>
      <protection hidden="1"/>
    </xf>
    <xf numFmtId="179" fontId="0" fillId="0" borderId="10" xfId="0" applyNumberFormat="1" applyFont="1" applyFill="1" applyBorder="1" applyAlignment="1" applyProtection="1">
      <alignment horizontal="center" vertical="center"/>
      <protection hidden="1"/>
    </xf>
    <xf numFmtId="167" fontId="0" fillId="13" borderId="19" xfId="0" applyNumberFormat="1" applyFont="1" applyFill="1" applyBorder="1" applyAlignment="1" applyProtection="1">
      <alignment horizontal="center" vertical="center"/>
      <protection hidden="1"/>
    </xf>
    <xf numFmtId="164" fontId="0" fillId="0" borderId="17" xfId="0" applyNumberFormat="1" applyFont="1" applyBorder="1" applyAlignment="1" applyProtection="1">
      <alignment horizontal="center" vertical="center"/>
      <protection hidden="1"/>
    </xf>
    <xf numFmtId="168" fontId="0" fillId="0" borderId="0" xfId="0" applyNumberFormat="1" applyFont="1" applyAlignment="1" applyProtection="1">
      <alignment/>
      <protection hidden="1"/>
    </xf>
    <xf numFmtId="170" fontId="59" fillId="0" borderId="10" xfId="0" applyNumberFormat="1" applyFont="1" applyFill="1" applyBorder="1" applyAlignment="1" applyProtection="1">
      <alignment horizontal="center" vertical="center"/>
      <protection hidden="1"/>
    </xf>
    <xf numFmtId="3" fontId="59" fillId="0" borderId="10" xfId="0" applyNumberFormat="1" applyFont="1" applyFill="1" applyBorder="1" applyAlignment="1" applyProtection="1">
      <alignment horizontal="center" vertical="center"/>
      <protection hidden="1"/>
    </xf>
    <xf numFmtId="175" fontId="59" fillId="0" borderId="24" xfId="0" applyNumberFormat="1" applyFont="1" applyBorder="1" applyAlignment="1" applyProtection="1">
      <alignment vertical="center"/>
      <protection hidden="1"/>
    </xf>
    <xf numFmtId="164" fontId="59" fillId="0" borderId="17" xfId="0" applyNumberFormat="1" applyFont="1" applyBorder="1" applyAlignment="1" applyProtection="1">
      <alignment horizontal="center" vertical="center"/>
      <protection hidden="1"/>
    </xf>
    <xf numFmtId="167" fontId="59" fillId="0" borderId="19" xfId="0" applyNumberFormat="1" applyFont="1" applyBorder="1" applyAlignment="1" applyProtection="1">
      <alignment horizontal="center" vertical="center"/>
      <protection hidden="1"/>
    </xf>
    <xf numFmtId="1" fontId="59" fillId="0" borderId="20" xfId="0" applyNumberFormat="1" applyFont="1" applyBorder="1" applyAlignment="1" applyProtection="1">
      <alignment horizontal="center" vertical="center"/>
      <protection hidden="1"/>
    </xf>
    <xf numFmtId="168" fontId="59" fillId="0" borderId="19" xfId="0" applyNumberFormat="1" applyFont="1" applyBorder="1" applyAlignment="1" applyProtection="1">
      <alignment vertical="center"/>
      <protection hidden="1"/>
    </xf>
    <xf numFmtId="43" fontId="59" fillId="0" borderId="17" xfId="0" applyNumberFormat="1" applyFont="1" applyBorder="1" applyAlignment="1" applyProtection="1">
      <alignment vertical="center"/>
      <protection hidden="1"/>
    </xf>
    <xf numFmtId="171" fontId="59" fillId="0" borderId="19" xfId="0" applyNumberFormat="1" applyFont="1" applyBorder="1" applyAlignment="1" applyProtection="1">
      <alignment vertical="center"/>
      <protection hidden="1"/>
    </xf>
    <xf numFmtId="9" fontId="59" fillId="0" borderId="17" xfId="0" applyNumberFormat="1" applyFont="1" applyBorder="1" applyAlignment="1" applyProtection="1">
      <alignment horizontal="center" vertical="center"/>
      <protection hidden="1"/>
    </xf>
    <xf numFmtId="3" fontId="59" fillId="0" borderId="11" xfId="0" applyNumberFormat="1" applyFont="1" applyFill="1" applyBorder="1" applyAlignment="1" applyProtection="1">
      <alignment horizontal="center" vertical="center"/>
      <protection hidden="1"/>
    </xf>
    <xf numFmtId="175" fontId="59" fillId="0" borderId="11" xfId="0" applyNumberFormat="1" applyFont="1" applyBorder="1" applyAlignment="1" applyProtection="1">
      <alignment vertical="center"/>
      <protection hidden="1"/>
    </xf>
    <xf numFmtId="9" fontId="59" fillId="0" borderId="29" xfId="0" applyNumberFormat="1" applyFont="1" applyBorder="1" applyAlignment="1" applyProtection="1">
      <alignment horizontal="center" vertical="center"/>
      <protection hidden="1"/>
    </xf>
    <xf numFmtId="168" fontId="59" fillId="0" borderId="28" xfId="0" applyNumberFormat="1" applyFont="1" applyBorder="1" applyAlignment="1" applyProtection="1">
      <alignment vertical="center"/>
      <protection hidden="1"/>
    </xf>
    <xf numFmtId="43" fontId="59" fillId="0" borderId="29" xfId="0" applyNumberFormat="1" applyFont="1" applyBorder="1" applyAlignment="1" applyProtection="1">
      <alignment vertical="center"/>
      <protection hidden="1"/>
    </xf>
    <xf numFmtId="171" fontId="59" fillId="0" borderId="28" xfId="0" applyNumberFormat="1" applyFont="1" applyBorder="1" applyAlignment="1" applyProtection="1">
      <alignment vertical="center"/>
      <protection hidden="1"/>
    </xf>
    <xf numFmtId="1" fontId="0" fillId="0" borderId="0" xfId="0" applyNumberFormat="1" applyFont="1" applyAlignment="1" applyProtection="1">
      <alignment/>
      <protection hidden="1"/>
    </xf>
    <xf numFmtId="2" fontId="62" fillId="0" borderId="0" xfId="46" applyNumberFormat="1" applyFont="1" applyFill="1" applyBorder="1" applyAlignment="1" applyProtection="1">
      <alignment/>
      <protection hidden="1"/>
    </xf>
    <xf numFmtId="167" fontId="0" fillId="13" borderId="13" xfId="53" applyNumberFormat="1" applyFont="1" applyFill="1" applyBorder="1" applyAlignment="1" applyProtection="1">
      <alignment horizontal="right" vertical="center"/>
      <protection locked="0"/>
    </xf>
    <xf numFmtId="0" fontId="0" fillId="0" borderId="0" xfId="0" applyAlignment="1" applyProtection="1">
      <alignment horizontal="right"/>
      <protection locked="0"/>
    </xf>
    <xf numFmtId="164" fontId="59" fillId="0" borderId="34" xfId="52" applyNumberFormat="1" applyFont="1" applyFill="1" applyBorder="1" applyAlignment="1" applyProtection="1">
      <alignment horizontal="center"/>
      <protection hidden="1"/>
    </xf>
    <xf numFmtId="164" fontId="59" fillId="0" borderId="51" xfId="52" applyNumberFormat="1" applyFont="1" applyFill="1" applyBorder="1" applyAlignment="1" applyProtection="1">
      <alignment horizontal="center"/>
      <protection hidden="1"/>
    </xf>
    <xf numFmtId="164" fontId="59" fillId="0" borderId="10" xfId="52" applyNumberFormat="1" applyFont="1" applyFill="1" applyBorder="1" applyAlignment="1" applyProtection="1">
      <alignment horizontal="center"/>
      <protection hidden="1"/>
    </xf>
    <xf numFmtId="164" fontId="59" fillId="0" borderId="19" xfId="52" applyNumberFormat="1" applyFont="1" applyFill="1" applyBorder="1" applyAlignment="1" applyProtection="1">
      <alignment horizontal="center"/>
      <protection hidden="1"/>
    </xf>
    <xf numFmtId="164" fontId="59" fillId="0" borderId="38" xfId="52" applyNumberFormat="1" applyFont="1" applyFill="1" applyBorder="1" applyAlignment="1" applyProtection="1">
      <alignment horizontal="center"/>
      <protection hidden="1"/>
    </xf>
    <xf numFmtId="164" fontId="59" fillId="0" borderId="68" xfId="52" applyNumberFormat="1" applyFont="1" applyFill="1" applyBorder="1" applyAlignment="1" applyProtection="1">
      <alignment horizontal="center"/>
      <protection hidden="1"/>
    </xf>
    <xf numFmtId="0" fontId="62" fillId="0" borderId="0" xfId="0" applyFont="1" applyAlignment="1" applyProtection="1">
      <alignment vertical="top"/>
      <protection locked="0"/>
    </xf>
    <xf numFmtId="0" fontId="59" fillId="0" borderId="10" xfId="0" applyFont="1" applyBorder="1" applyAlignment="1">
      <alignment/>
    </xf>
    <xf numFmtId="0" fontId="67" fillId="0" borderId="30" xfId="0" applyFont="1" applyBorder="1" applyAlignment="1">
      <alignment horizontal="left" vertical="top"/>
    </xf>
    <xf numFmtId="0" fontId="49" fillId="0" borderId="30" xfId="45" applyBorder="1" applyAlignment="1" applyProtection="1">
      <alignment horizontal="left" vertical="top" wrapText="1"/>
      <protection/>
    </xf>
    <xf numFmtId="0" fontId="67" fillId="0" borderId="69" xfId="0" applyFont="1" applyBorder="1" applyAlignment="1">
      <alignment horizontal="left" vertical="top" wrapText="1"/>
    </xf>
    <xf numFmtId="166" fontId="0" fillId="0" borderId="10" xfId="0" applyNumberFormat="1" applyFont="1" applyBorder="1" applyAlignment="1" applyProtection="1">
      <alignment vertical="center"/>
      <protection hidden="1"/>
    </xf>
    <xf numFmtId="178" fontId="0" fillId="0" borderId="19" xfId="0" applyNumberFormat="1" applyFont="1" applyBorder="1" applyAlignment="1" applyProtection="1">
      <alignment horizontal="right" vertical="center" indent="1"/>
      <protection hidden="1"/>
    </xf>
    <xf numFmtId="166" fontId="0" fillId="0" borderId="38" xfId="0" applyNumberFormat="1" applyFont="1" applyBorder="1" applyAlignment="1" applyProtection="1">
      <alignment vertical="center"/>
      <protection hidden="1"/>
    </xf>
    <xf numFmtId="178" fontId="0" fillId="0" borderId="68" xfId="0" applyNumberFormat="1" applyFont="1" applyBorder="1" applyAlignment="1" applyProtection="1">
      <alignment horizontal="right" vertical="center" indent="1"/>
      <protection hidden="1"/>
    </xf>
    <xf numFmtId="166" fontId="59" fillId="0" borderId="11" xfId="0" applyNumberFormat="1" applyFont="1" applyBorder="1" applyAlignment="1" applyProtection="1">
      <alignment vertical="center"/>
      <protection hidden="1"/>
    </xf>
    <xf numFmtId="178" fontId="0" fillId="0" borderId="47" xfId="0" applyNumberFormat="1" applyFont="1" applyBorder="1" applyAlignment="1" applyProtection="1">
      <alignment horizontal="right" vertical="center" indent="1"/>
      <protection hidden="1"/>
    </xf>
    <xf numFmtId="166" fontId="0" fillId="0" borderId="65" xfId="0" applyNumberFormat="1" applyFont="1" applyBorder="1" applyAlignment="1" applyProtection="1">
      <alignment/>
      <protection hidden="1"/>
    </xf>
    <xf numFmtId="178" fontId="0" fillId="0" borderId="51" xfId="0" applyNumberFormat="1" applyFont="1" applyBorder="1" applyAlignment="1" applyProtection="1">
      <alignment horizontal="right" vertical="center" indent="1"/>
      <protection hidden="1"/>
    </xf>
    <xf numFmtId="166" fontId="0" fillId="0" borderId="67" xfId="0" applyNumberFormat="1" applyFont="1" applyBorder="1" applyAlignment="1" applyProtection="1">
      <alignment/>
      <protection hidden="1"/>
    </xf>
    <xf numFmtId="178" fontId="0" fillId="0" borderId="68" xfId="0" applyNumberFormat="1" applyFont="1" applyBorder="1" applyAlignment="1" applyProtection="1">
      <alignment horizontal="right" indent="1"/>
      <protection hidden="1"/>
    </xf>
    <xf numFmtId="177" fontId="59" fillId="0" borderId="19" xfId="0" applyNumberFormat="1" applyFont="1" applyBorder="1" applyAlignment="1" applyProtection="1">
      <alignment horizontal="center" vertical="center"/>
      <protection hidden="1"/>
    </xf>
    <xf numFmtId="177" fontId="59" fillId="0" borderId="47" xfId="0" applyNumberFormat="1" applyFont="1" applyBorder="1" applyAlignment="1" applyProtection="1">
      <alignment horizontal="center" vertical="center"/>
      <protection hidden="1"/>
    </xf>
    <xf numFmtId="166" fontId="0" fillId="0" borderId="32" xfId="0" applyNumberFormat="1" applyFont="1" applyBorder="1" applyAlignment="1" applyProtection="1">
      <alignment vertical="center"/>
      <protection hidden="1"/>
    </xf>
    <xf numFmtId="176" fontId="0" fillId="0" borderId="53" xfId="0" applyNumberFormat="1" applyFont="1" applyBorder="1" applyAlignment="1" applyProtection="1">
      <alignment horizontal="right" vertical="center" indent="1"/>
      <protection hidden="1"/>
    </xf>
    <xf numFmtId="178" fontId="0" fillId="0" borderId="24" xfId="0" applyNumberFormat="1" applyFont="1" applyBorder="1" applyAlignment="1" applyProtection="1">
      <alignment horizontal="right" vertical="center" indent="1"/>
      <protection hidden="1"/>
    </xf>
    <xf numFmtId="176" fontId="0" fillId="0" borderId="19" xfId="0" applyNumberFormat="1" applyFont="1" applyBorder="1" applyAlignment="1" applyProtection="1">
      <alignment horizontal="right" vertical="center" indent="1"/>
      <protection hidden="1"/>
    </xf>
    <xf numFmtId="166" fontId="0" fillId="0" borderId="12" xfId="0" applyNumberFormat="1" applyFont="1" applyBorder="1" applyAlignment="1" applyProtection="1">
      <alignment vertical="center"/>
      <protection hidden="1"/>
    </xf>
    <xf numFmtId="178" fontId="0" fillId="0" borderId="18" xfId="0" applyNumberFormat="1" applyFont="1" applyBorder="1" applyAlignment="1" applyProtection="1">
      <alignment horizontal="right" vertical="center" indent="1"/>
      <protection hidden="1"/>
    </xf>
    <xf numFmtId="176" fontId="0" fillId="0" borderId="23" xfId="0" applyNumberFormat="1" applyFont="1" applyBorder="1" applyAlignment="1" applyProtection="1">
      <alignment horizontal="right" vertical="center" indent="1"/>
      <protection hidden="1"/>
    </xf>
    <xf numFmtId="166" fontId="59" fillId="0" borderId="11" xfId="0" applyNumberFormat="1" applyFont="1" applyBorder="1" applyAlignment="1" applyProtection="1">
      <alignment/>
      <protection hidden="1"/>
    </xf>
    <xf numFmtId="178" fontId="59" fillId="0" borderId="27" xfId="0" applyNumberFormat="1" applyFont="1" applyBorder="1" applyAlignment="1" applyProtection="1">
      <alignment horizontal="right" vertical="center" indent="1"/>
      <protection hidden="1"/>
    </xf>
    <xf numFmtId="176" fontId="59" fillId="0" borderId="28" xfId="0" applyNumberFormat="1" applyFont="1" applyBorder="1" applyAlignment="1" applyProtection="1">
      <alignment horizontal="right" vertical="center" indent="1"/>
      <protection hidden="1"/>
    </xf>
    <xf numFmtId="165" fontId="59" fillId="0" borderId="27" xfId="0" applyNumberFormat="1" applyFont="1" applyBorder="1" applyAlignment="1" applyProtection="1">
      <alignment horizontal="center"/>
      <protection hidden="1"/>
    </xf>
    <xf numFmtId="0" fontId="0" fillId="0" borderId="40" xfId="0" applyFont="1" applyBorder="1" applyAlignment="1" applyProtection="1">
      <alignment horizontal="center" wrapText="1"/>
      <protection locked="0"/>
    </xf>
    <xf numFmtId="0" fontId="0" fillId="0" borderId="17" xfId="0" applyFont="1" applyBorder="1" applyAlignment="1" applyProtection="1">
      <alignment vertical="center"/>
      <protection locked="0"/>
    </xf>
    <xf numFmtId="0" fontId="0" fillId="0" borderId="17" xfId="0" applyFont="1" applyBorder="1" applyAlignment="1" applyProtection="1">
      <alignment vertical="center" wrapText="1"/>
      <protection locked="0"/>
    </xf>
    <xf numFmtId="5" fontId="0" fillId="13" borderId="19" xfId="49" applyNumberFormat="1" applyFont="1" applyFill="1" applyBorder="1" applyAlignment="1" applyProtection="1">
      <alignment horizontal="right" vertical="center" indent="1"/>
      <protection locked="0"/>
    </xf>
    <xf numFmtId="0" fontId="0" fillId="0" borderId="70" xfId="0" applyFont="1" applyBorder="1" applyAlignment="1" applyProtection="1">
      <alignment vertical="center"/>
      <protection locked="0"/>
    </xf>
    <xf numFmtId="0" fontId="0" fillId="0" borderId="71" xfId="0" applyFont="1" applyBorder="1" applyAlignment="1" applyProtection="1">
      <alignment vertical="center"/>
      <protection locked="0"/>
    </xf>
    <xf numFmtId="0" fontId="59" fillId="0" borderId="0" xfId="0" applyFont="1" applyAlignment="1">
      <alignment horizontal="center"/>
    </xf>
    <xf numFmtId="0" fontId="0" fillId="0" borderId="0" xfId="0" applyAlignment="1">
      <alignment wrapText="1"/>
    </xf>
    <xf numFmtId="0" fontId="62" fillId="0" borderId="0" xfId="52" applyFont="1" applyBorder="1" applyAlignment="1" applyProtection="1">
      <alignment horizontal="left" vertical="top" wrapText="1"/>
      <protection hidden="1"/>
    </xf>
    <xf numFmtId="2" fontId="62" fillId="0" borderId="0" xfId="46" applyNumberFormat="1" applyFont="1" applyFill="1" applyBorder="1" applyAlignment="1" applyProtection="1">
      <alignment/>
      <protection locked="0"/>
    </xf>
    <xf numFmtId="2" fontId="62" fillId="13" borderId="54" xfId="0" applyNumberFormat="1" applyFont="1" applyFill="1" applyBorder="1" applyAlignment="1" applyProtection="1">
      <alignment/>
      <protection locked="0"/>
    </xf>
    <xf numFmtId="2" fontId="62" fillId="13" borderId="21" xfId="0" applyNumberFormat="1" applyFont="1" applyFill="1" applyBorder="1" applyAlignment="1" applyProtection="1">
      <alignment/>
      <protection locked="0"/>
    </xf>
    <xf numFmtId="2" fontId="62" fillId="13" borderId="54" xfId="0" applyNumberFormat="1" applyFont="1" applyFill="1" applyBorder="1" applyAlignment="1" applyProtection="1">
      <alignment/>
      <protection locked="0"/>
    </xf>
    <xf numFmtId="0" fontId="68" fillId="33" borderId="69" xfId="45" applyFont="1" applyFill="1" applyBorder="1" applyAlignment="1" applyProtection="1">
      <alignment horizontal="center"/>
      <protection hidden="1"/>
    </xf>
    <xf numFmtId="0" fontId="69" fillId="0" borderId="0" xfId="45" applyFont="1" applyAlignment="1" applyProtection="1">
      <alignment horizontal="left" indent="3"/>
      <protection/>
    </xf>
    <xf numFmtId="0" fontId="70" fillId="0" borderId="0" xfId="0" applyFont="1" applyAlignment="1">
      <alignment/>
    </xf>
    <xf numFmtId="0" fontId="70" fillId="0" borderId="0" xfId="52" applyFont="1" applyAlignment="1" applyProtection="1">
      <alignment horizontal="left"/>
      <protection hidden="1"/>
    </xf>
    <xf numFmtId="0" fontId="59" fillId="0" borderId="10" xfId="0" applyFont="1" applyBorder="1" applyAlignment="1" applyProtection="1">
      <alignment horizontal="center"/>
      <protection locked="0"/>
    </xf>
    <xf numFmtId="2" fontId="0" fillId="0" borderId="10" xfId="0" applyNumberFormat="1" applyFont="1" applyBorder="1" applyAlignment="1" applyProtection="1">
      <alignment vertical="top"/>
      <protection locked="0"/>
    </xf>
    <xf numFmtId="0" fontId="0" fillId="0" borderId="10" xfId="0" applyBorder="1" applyAlignment="1" applyProtection="1">
      <alignment horizontal="center"/>
      <protection locked="0"/>
    </xf>
    <xf numFmtId="0" fontId="71" fillId="0" borderId="0" xfId="52" applyFont="1" applyBorder="1" applyAlignment="1" applyProtection="1">
      <alignment horizontal="left"/>
      <protection hidden="1"/>
    </xf>
    <xf numFmtId="0" fontId="0" fillId="14" borderId="36" xfId="0" applyFill="1" applyBorder="1" applyAlignment="1" applyProtection="1">
      <alignment horizontal="left"/>
      <protection locked="0"/>
    </xf>
    <xf numFmtId="0" fontId="0" fillId="0" borderId="0" xfId="0" applyAlignment="1">
      <alignment horizontal="left" vertical="top" wrapText="1"/>
    </xf>
    <xf numFmtId="0" fontId="0" fillId="0" borderId="53" xfId="0" applyBorder="1" applyAlignment="1" applyProtection="1">
      <alignment horizontal="center"/>
      <protection locked="0"/>
    </xf>
    <xf numFmtId="0" fontId="0" fillId="0" borderId="22" xfId="0" applyBorder="1" applyAlignment="1">
      <alignment wrapText="1"/>
    </xf>
    <xf numFmtId="166" fontId="0" fillId="13" borderId="34" xfId="0" applyNumberFormat="1" applyFont="1" applyFill="1" applyBorder="1" applyAlignment="1" applyProtection="1">
      <alignment vertical="center"/>
      <protection locked="0"/>
    </xf>
    <xf numFmtId="0" fontId="0" fillId="13" borderId="19" xfId="0" applyFont="1" applyFill="1" applyBorder="1" applyAlignment="1" applyProtection="1">
      <alignment horizontal="center"/>
      <protection locked="0"/>
    </xf>
    <xf numFmtId="0" fontId="59" fillId="0" borderId="15" xfId="0" applyFont="1" applyBorder="1" applyAlignment="1" applyProtection="1">
      <alignment horizontal="left"/>
      <protection hidden="1"/>
    </xf>
    <xf numFmtId="166" fontId="0" fillId="0" borderId="32" xfId="0" applyNumberFormat="1" applyFont="1" applyBorder="1" applyAlignment="1" applyProtection="1">
      <alignment/>
      <protection hidden="1"/>
    </xf>
    <xf numFmtId="166" fontId="0" fillId="0" borderId="53" xfId="0" applyNumberFormat="1" applyFont="1" applyBorder="1" applyAlignment="1" applyProtection="1">
      <alignment/>
      <protection hidden="1"/>
    </xf>
    <xf numFmtId="166" fontId="0" fillId="0" borderId="38" xfId="0" applyNumberFormat="1" applyFont="1" applyBorder="1" applyAlignment="1" applyProtection="1">
      <alignment/>
      <protection hidden="1"/>
    </xf>
    <xf numFmtId="166" fontId="0" fillId="0" borderId="68" xfId="0" applyNumberFormat="1" applyFont="1" applyBorder="1" applyAlignment="1" applyProtection="1">
      <alignment/>
      <protection hidden="1"/>
    </xf>
    <xf numFmtId="166" fontId="59" fillId="0" borderId="66" xfId="0" applyNumberFormat="1" applyFont="1" applyBorder="1" applyAlignment="1" applyProtection="1">
      <alignment/>
      <protection hidden="1"/>
    </xf>
    <xf numFmtId="166" fontId="59" fillId="0" borderId="47" xfId="0" applyNumberFormat="1" applyFont="1" applyBorder="1" applyAlignment="1" applyProtection="1">
      <alignment/>
      <protection hidden="1"/>
    </xf>
    <xf numFmtId="165" fontId="0" fillId="0" borderId="38" xfId="0" applyNumberFormat="1" applyFont="1" applyBorder="1" applyAlignment="1" applyProtection="1">
      <alignment horizontal="center"/>
      <protection hidden="1"/>
    </xf>
    <xf numFmtId="166" fontId="0" fillId="0" borderId="66" xfId="0" applyNumberFormat="1" applyFont="1" applyBorder="1" applyAlignment="1" applyProtection="1">
      <alignment/>
      <protection hidden="1"/>
    </xf>
    <xf numFmtId="166" fontId="0" fillId="0" borderId="47" xfId="0" applyNumberFormat="1" applyFont="1" applyBorder="1" applyAlignment="1" applyProtection="1">
      <alignment/>
      <protection hidden="1"/>
    </xf>
    <xf numFmtId="2" fontId="59" fillId="0" borderId="10" xfId="0" applyNumberFormat="1" applyFont="1" applyFill="1" applyBorder="1" applyAlignment="1" applyProtection="1">
      <alignment horizontal="center"/>
      <protection hidden="1"/>
    </xf>
    <xf numFmtId="166" fontId="59" fillId="0" borderId="53" xfId="0" applyNumberFormat="1" applyFont="1" applyBorder="1" applyAlignment="1" applyProtection="1">
      <alignment/>
      <protection hidden="1"/>
    </xf>
    <xf numFmtId="0" fontId="0" fillId="0" borderId="32" xfId="0" applyFont="1" applyFill="1" applyBorder="1" applyAlignment="1" applyProtection="1">
      <alignment horizontal="center"/>
      <protection hidden="1"/>
    </xf>
    <xf numFmtId="2" fontId="0" fillId="0" borderId="38" xfId="0" applyNumberFormat="1" applyFont="1" applyFill="1" applyBorder="1" applyAlignment="1" applyProtection="1">
      <alignment horizontal="center"/>
      <protection hidden="1"/>
    </xf>
    <xf numFmtId="164" fontId="0" fillId="0" borderId="51" xfId="0" applyNumberFormat="1" applyFont="1" applyBorder="1" applyAlignment="1" applyProtection="1">
      <alignment horizontal="center"/>
      <protection hidden="1"/>
    </xf>
    <xf numFmtId="2" fontId="0" fillId="0" borderId="68" xfId="0" applyNumberFormat="1" applyFont="1" applyBorder="1" applyAlignment="1" applyProtection="1">
      <alignment horizontal="center"/>
      <protection hidden="1"/>
    </xf>
    <xf numFmtId="3" fontId="0" fillId="0" borderId="10" xfId="0" applyNumberFormat="1"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2" fontId="0" fillId="0" borderId="10" xfId="0" applyNumberFormat="1" applyFont="1" applyFill="1" applyBorder="1" applyAlignment="1" applyProtection="1">
      <alignment horizontal="center" vertical="center"/>
      <protection hidden="1"/>
    </xf>
    <xf numFmtId="3" fontId="0" fillId="0" borderId="32" xfId="0" applyNumberFormat="1" applyFont="1" applyBorder="1" applyAlignment="1" applyProtection="1">
      <alignment horizontal="center" vertical="center"/>
      <protection hidden="1"/>
    </xf>
    <xf numFmtId="5" fontId="0" fillId="0" borderId="10" xfId="0" applyNumberFormat="1" applyFont="1" applyBorder="1" applyAlignment="1" applyProtection="1">
      <alignment horizontal="right" vertical="center" indent="1"/>
      <protection hidden="1"/>
    </xf>
    <xf numFmtId="7" fontId="0" fillId="0" borderId="10" xfId="0" applyNumberFormat="1" applyFont="1" applyBorder="1" applyAlignment="1" applyProtection="1">
      <alignment horizontal="right" vertical="center" indent="1"/>
      <protection hidden="1"/>
    </xf>
    <xf numFmtId="5" fontId="0" fillId="0" borderId="19" xfId="0" applyNumberFormat="1" applyFont="1" applyBorder="1" applyAlignment="1" applyProtection="1">
      <alignment horizontal="right" vertical="center" indent="1"/>
      <protection hidden="1"/>
    </xf>
    <xf numFmtId="7" fontId="0" fillId="0" borderId="19" xfId="0" applyNumberFormat="1" applyFont="1" applyBorder="1" applyAlignment="1" applyProtection="1">
      <alignment horizontal="right" vertical="center" indent="1"/>
      <protection hidden="1"/>
    </xf>
    <xf numFmtId="7" fontId="0" fillId="0" borderId="68" xfId="0" applyNumberFormat="1" applyFont="1" applyBorder="1" applyAlignment="1" applyProtection="1">
      <alignment horizontal="right" vertical="center" indent="1"/>
      <protection hidden="1"/>
    </xf>
    <xf numFmtId="2" fontId="0" fillId="0" borderId="10" xfId="0" applyNumberFormat="1" applyFont="1" applyBorder="1" applyAlignment="1" applyProtection="1">
      <alignment vertical="top"/>
      <protection hidden="1"/>
    </xf>
    <xf numFmtId="181" fontId="0" fillId="0" borderId="10" xfId="0" applyNumberFormat="1" applyFill="1" applyBorder="1" applyAlignment="1" applyProtection="1">
      <alignment horizontal="center" vertical="center"/>
      <protection hidden="1"/>
    </xf>
    <xf numFmtId="182" fontId="0" fillId="13" borderId="19" xfId="0" applyNumberFormat="1" applyFont="1" applyFill="1" applyBorder="1" applyAlignment="1" applyProtection="1">
      <alignment horizontal="right" vertical="center"/>
      <protection locked="0"/>
    </xf>
    <xf numFmtId="1" fontId="0" fillId="13" borderId="44" xfId="0" applyNumberFormat="1" applyFont="1" applyFill="1" applyBorder="1" applyAlignment="1" applyProtection="1">
      <alignment horizontal="center" vertical="center"/>
      <protection locked="0"/>
    </xf>
    <xf numFmtId="183" fontId="0" fillId="13" borderId="0" xfId="0" applyNumberFormat="1" applyFill="1" applyAlignment="1" applyProtection="1">
      <alignment horizontal="center"/>
      <protection locked="0"/>
    </xf>
    <xf numFmtId="184" fontId="0" fillId="0" borderId="10" xfId="0" applyNumberFormat="1" applyFont="1" applyFill="1" applyBorder="1" applyAlignment="1" applyProtection="1">
      <alignment horizontal="center" vertical="center"/>
      <protection hidden="1"/>
    </xf>
    <xf numFmtId="185" fontId="0" fillId="0" borderId="19" xfId="0" applyNumberFormat="1" applyFont="1" applyBorder="1" applyAlignment="1" applyProtection="1">
      <alignment horizontal="center" vertical="center"/>
      <protection hidden="1"/>
    </xf>
    <xf numFmtId="0" fontId="0" fillId="0" borderId="0" xfId="0" applyFont="1" applyAlignment="1">
      <alignment horizontal="left" wrapText="1"/>
    </xf>
    <xf numFmtId="178" fontId="59" fillId="0" borderId="66" xfId="0" applyNumberFormat="1" applyFont="1" applyFill="1" applyBorder="1" applyAlignment="1" applyProtection="1">
      <alignment/>
      <protection hidden="1"/>
    </xf>
    <xf numFmtId="178" fontId="59" fillId="0" borderId="47" xfId="0" applyNumberFormat="1" applyFont="1" applyFill="1" applyBorder="1" applyAlignment="1" applyProtection="1">
      <alignment/>
      <protection hidden="1"/>
    </xf>
    <xf numFmtId="0" fontId="0" fillId="0" borderId="28" xfId="0" applyBorder="1" applyAlignment="1">
      <alignment horizontal="center" wrapText="1"/>
    </xf>
    <xf numFmtId="166" fontId="59" fillId="0" borderId="72" xfId="0" applyNumberFormat="1" applyFont="1" applyBorder="1" applyAlignment="1" applyProtection="1">
      <alignment/>
      <protection hidden="1"/>
    </xf>
    <xf numFmtId="178" fontId="59" fillId="0" borderId="72" xfId="0" applyNumberFormat="1" applyFont="1" applyFill="1" applyBorder="1" applyAlignment="1" applyProtection="1">
      <alignment/>
      <protection hidden="1"/>
    </xf>
    <xf numFmtId="0" fontId="0" fillId="0" borderId="27" xfId="0" applyBorder="1" applyAlignment="1">
      <alignment horizontal="center" wrapText="1"/>
    </xf>
    <xf numFmtId="2" fontId="0" fillId="0" borderId="11" xfId="0" applyNumberFormat="1" applyFont="1" applyBorder="1" applyAlignment="1">
      <alignment horizontal="center"/>
    </xf>
    <xf numFmtId="0" fontId="0" fillId="0" borderId="0" xfId="0" applyFont="1" applyAlignment="1">
      <alignment horizontal="left" vertical="top"/>
    </xf>
    <xf numFmtId="167" fontId="0" fillId="0" borderId="0" xfId="0" applyNumberFormat="1" applyFont="1" applyAlignment="1">
      <alignment horizontal="left" vertical="top"/>
    </xf>
    <xf numFmtId="167" fontId="0" fillId="0" borderId="32" xfId="0" applyNumberFormat="1" applyFont="1" applyBorder="1" applyAlignment="1">
      <alignment horizontal="center" vertical="top"/>
    </xf>
    <xf numFmtId="167" fontId="0" fillId="0" borderId="10" xfId="0" applyNumberFormat="1" applyFont="1" applyBorder="1" applyAlignment="1">
      <alignment horizontal="center" vertical="top"/>
    </xf>
    <xf numFmtId="167" fontId="0" fillId="0" borderId="38" xfId="0" applyNumberFormat="1" applyFont="1" applyBorder="1" applyAlignment="1">
      <alignment horizontal="center" vertical="top"/>
    </xf>
    <xf numFmtId="2" fontId="0" fillId="0" borderId="10" xfId="0" applyNumberFormat="1" applyFont="1" applyBorder="1" applyAlignment="1" applyProtection="1">
      <alignment horizontal="center" vertical="top"/>
      <protection hidden="1"/>
    </xf>
    <xf numFmtId="2" fontId="0" fillId="0" borderId="38" xfId="0" applyNumberFormat="1" applyFont="1" applyBorder="1" applyAlignment="1" applyProtection="1">
      <alignment horizontal="center" vertical="top"/>
      <protection hidden="1"/>
    </xf>
    <xf numFmtId="166" fontId="0" fillId="0" borderId="19" xfId="0" applyNumberFormat="1" applyFont="1" applyBorder="1" applyAlignment="1" applyProtection="1">
      <alignment horizontal="right" vertical="top"/>
      <protection hidden="1"/>
    </xf>
    <xf numFmtId="166" fontId="0" fillId="0" borderId="68" xfId="0" applyNumberFormat="1" applyFont="1" applyBorder="1" applyAlignment="1" applyProtection="1">
      <alignment horizontal="right" vertical="top"/>
      <protection hidden="1"/>
    </xf>
    <xf numFmtId="0" fontId="0" fillId="0" borderId="33" xfId="0" applyBorder="1" applyAlignment="1">
      <alignment/>
    </xf>
    <xf numFmtId="0" fontId="0" fillId="0" borderId="36" xfId="0" applyBorder="1" applyAlignment="1">
      <alignment/>
    </xf>
    <xf numFmtId="0" fontId="0" fillId="0" borderId="17" xfId="0" applyBorder="1" applyAlignment="1">
      <alignment/>
    </xf>
    <xf numFmtId="0" fontId="0" fillId="0" borderId="35" xfId="0" applyBorder="1" applyAlignment="1">
      <alignment/>
    </xf>
    <xf numFmtId="166" fontId="0" fillId="0" borderId="34" xfId="0" applyNumberFormat="1" applyFont="1" applyBorder="1" applyAlignment="1" applyProtection="1">
      <alignment vertical="center"/>
      <protection hidden="1"/>
    </xf>
    <xf numFmtId="166" fontId="0" fillId="0" borderId="51" xfId="0" applyNumberFormat="1" applyFont="1" applyBorder="1" applyAlignment="1" applyProtection="1">
      <alignment vertical="center"/>
      <protection hidden="1"/>
    </xf>
    <xf numFmtId="166" fontId="0" fillId="0" borderId="65" xfId="0" applyNumberFormat="1" applyFont="1" applyBorder="1" applyAlignment="1" applyProtection="1">
      <alignment vertical="center"/>
      <protection hidden="1"/>
    </xf>
    <xf numFmtId="166" fontId="0" fillId="0" borderId="53" xfId="0" applyNumberFormat="1" applyFont="1" applyBorder="1" applyAlignment="1" applyProtection="1">
      <alignment vertical="center"/>
      <protection hidden="1"/>
    </xf>
    <xf numFmtId="166" fontId="0" fillId="0" borderId="24" xfId="0" applyNumberFormat="1" applyFont="1" applyBorder="1" applyAlignment="1" applyProtection="1">
      <alignment vertical="center"/>
      <protection hidden="1"/>
    </xf>
    <xf numFmtId="166" fontId="0" fillId="0" borderId="19" xfId="0" applyNumberFormat="1" applyFont="1" applyBorder="1" applyAlignment="1" applyProtection="1">
      <alignment vertical="center"/>
      <protection hidden="1"/>
    </xf>
    <xf numFmtId="166" fontId="0" fillId="0" borderId="68" xfId="0" applyNumberFormat="1" applyFont="1" applyBorder="1" applyAlignment="1" applyProtection="1">
      <alignment vertical="center"/>
      <protection hidden="1"/>
    </xf>
    <xf numFmtId="166" fontId="0" fillId="0" borderId="67" xfId="0" applyNumberFormat="1" applyFont="1" applyBorder="1" applyAlignment="1" applyProtection="1">
      <alignment vertical="center"/>
      <protection hidden="1"/>
    </xf>
    <xf numFmtId="13" fontId="0" fillId="0" borderId="0" xfId="0" applyNumberFormat="1" applyFont="1" applyAlignment="1">
      <alignment/>
    </xf>
    <xf numFmtId="0" fontId="0" fillId="13" borderId="10" xfId="0" applyFont="1" applyFill="1" applyBorder="1" applyAlignment="1" applyProtection="1">
      <alignment horizontal="center"/>
      <protection locked="0"/>
    </xf>
    <xf numFmtId="2" fontId="0" fillId="0" borderId="32" xfId="0" applyNumberFormat="1" applyFont="1" applyFill="1" applyBorder="1" applyAlignment="1" applyProtection="1">
      <alignment horizontal="center"/>
      <protection hidden="1"/>
    </xf>
    <xf numFmtId="2" fontId="0" fillId="0" borderId="53" xfId="0" applyNumberFormat="1" applyFont="1" applyFill="1" applyBorder="1" applyAlignment="1" applyProtection="1">
      <alignment horizontal="center"/>
      <protection hidden="1"/>
    </xf>
    <xf numFmtId="0" fontId="0" fillId="13" borderId="34" xfId="0" applyFont="1" applyFill="1" applyBorder="1" applyAlignment="1" applyProtection="1">
      <alignment horizontal="center"/>
      <protection locked="0"/>
    </xf>
    <xf numFmtId="2" fontId="0" fillId="13" borderId="51" xfId="0" applyNumberFormat="1" applyFont="1" applyFill="1" applyBorder="1" applyAlignment="1" applyProtection="1">
      <alignment horizontal="center"/>
      <protection locked="0"/>
    </xf>
    <xf numFmtId="164" fontId="0" fillId="13" borderId="19" xfId="0" applyNumberFormat="1" applyFont="1" applyFill="1" applyBorder="1" applyAlignment="1" applyProtection="1">
      <alignment horizontal="center"/>
      <protection locked="0"/>
    </xf>
    <xf numFmtId="165" fontId="0" fillId="13" borderId="68" xfId="0" applyNumberFormat="1" applyFont="1" applyFill="1" applyBorder="1" applyAlignment="1" applyProtection="1">
      <alignment horizontal="center"/>
      <protection locked="0"/>
    </xf>
    <xf numFmtId="0" fontId="0" fillId="0" borderId="19" xfId="0" applyFont="1" applyFill="1" applyBorder="1" applyAlignment="1" applyProtection="1">
      <alignment horizontal="center"/>
      <protection hidden="1"/>
    </xf>
    <xf numFmtId="0" fontId="0" fillId="0" borderId="10" xfId="0" applyFont="1" applyFill="1" applyBorder="1" applyAlignment="1" applyProtection="1">
      <alignment horizontal="center"/>
      <protection/>
    </xf>
    <xf numFmtId="2" fontId="0" fillId="0" borderId="19" xfId="0" applyNumberFormat="1" applyFont="1" applyFill="1" applyBorder="1" applyAlignment="1" applyProtection="1">
      <alignment horizontal="center"/>
      <protection hidden="1"/>
    </xf>
    <xf numFmtId="166" fontId="0" fillId="13" borderId="38" xfId="0" applyNumberFormat="1" applyFont="1" applyFill="1" applyBorder="1" applyAlignment="1" applyProtection="1">
      <alignment vertical="center"/>
      <protection locked="0"/>
    </xf>
    <xf numFmtId="166" fontId="0" fillId="13" borderId="68" xfId="0" applyNumberFormat="1" applyFont="1" applyFill="1" applyBorder="1" applyAlignment="1" applyProtection="1">
      <alignment vertical="center"/>
      <protection locked="0"/>
    </xf>
    <xf numFmtId="2" fontId="0" fillId="0" borderId="24" xfId="0" applyNumberFormat="1" applyFont="1" applyFill="1" applyBorder="1" applyAlignment="1" applyProtection="1">
      <alignment horizontal="center"/>
      <protection hidden="1"/>
    </xf>
    <xf numFmtId="44" fontId="0" fillId="13" borderId="19" xfId="49" applyFont="1" applyFill="1" applyBorder="1" applyAlignment="1" applyProtection="1">
      <alignment/>
      <protection locked="0"/>
    </xf>
    <xf numFmtId="44" fontId="0" fillId="13" borderId="68" xfId="49" applyFont="1" applyFill="1" applyBorder="1" applyAlignment="1" applyProtection="1">
      <alignment/>
      <protection locked="0"/>
    </xf>
    <xf numFmtId="186" fontId="0" fillId="13" borderId="53" xfId="0" applyNumberFormat="1" applyFont="1" applyFill="1" applyBorder="1" applyAlignment="1" applyProtection="1">
      <alignment horizontal="left" vertical="center" indent="2"/>
      <protection locked="0"/>
    </xf>
    <xf numFmtId="0" fontId="0" fillId="0" borderId="73" xfId="0" applyBorder="1" applyAlignment="1">
      <alignment horizontal="center"/>
    </xf>
    <xf numFmtId="166" fontId="0" fillId="13" borderId="24" xfId="0" applyNumberFormat="1" applyFont="1" applyFill="1" applyBorder="1" applyAlignment="1" applyProtection="1">
      <alignment vertical="center"/>
      <protection locked="0"/>
    </xf>
    <xf numFmtId="166" fontId="0" fillId="13" borderId="49" xfId="0" applyNumberFormat="1" applyFont="1" applyFill="1" applyBorder="1" applyAlignment="1" applyProtection="1">
      <alignment vertical="center"/>
      <protection locked="0"/>
    </xf>
    <xf numFmtId="166" fontId="0" fillId="0" borderId="67" xfId="0" applyNumberFormat="1" applyFont="1" applyFill="1" applyBorder="1" applyAlignment="1" applyProtection="1">
      <alignment vertical="center"/>
      <protection hidden="1"/>
    </xf>
    <xf numFmtId="0" fontId="0" fillId="0" borderId="51" xfId="0" applyBorder="1" applyAlignment="1">
      <alignment horizontal="center"/>
    </xf>
    <xf numFmtId="164" fontId="0" fillId="0" borderId="19" xfId="0" applyNumberFormat="1" applyFont="1" applyBorder="1" applyAlignment="1">
      <alignment horizontal="center" vertical="center"/>
    </xf>
    <xf numFmtId="164" fontId="0" fillId="0" borderId="68" xfId="0" applyNumberFormat="1" applyFont="1" applyBorder="1" applyAlignment="1">
      <alignment horizontal="center" vertical="center"/>
    </xf>
    <xf numFmtId="0" fontId="0" fillId="0" borderId="10" xfId="0" applyBorder="1" applyAlignment="1">
      <alignment horizontal="center"/>
    </xf>
    <xf numFmtId="0" fontId="70" fillId="0" borderId="0" xfId="52" applyNumberFormat="1" applyFont="1" applyAlignment="1" applyProtection="1">
      <alignment horizontal="left"/>
      <protection hidden="1"/>
    </xf>
    <xf numFmtId="0" fontId="0" fillId="0" borderId="38" xfId="0" applyNumberFormat="1" applyBorder="1" applyAlignment="1">
      <alignment horizontal="center"/>
    </xf>
    <xf numFmtId="0" fontId="0" fillId="0" borderId="74" xfId="0" applyNumberFormat="1" applyBorder="1" applyAlignment="1">
      <alignment horizontal="center" wrapText="1"/>
    </xf>
    <xf numFmtId="0" fontId="0" fillId="0" borderId="11" xfId="0" applyNumberFormat="1" applyBorder="1" applyAlignment="1">
      <alignment horizontal="center"/>
    </xf>
    <xf numFmtId="0" fontId="59" fillId="0" borderId="52" xfId="0" applyNumberFormat="1" applyFont="1" applyBorder="1" applyAlignment="1">
      <alignment/>
    </xf>
    <xf numFmtId="0" fontId="0" fillId="0" borderId="35" xfId="0" applyNumberFormat="1" applyBorder="1" applyAlignment="1">
      <alignment horizontal="left"/>
    </xf>
    <xf numFmtId="0" fontId="0" fillId="0" borderId="0" xfId="0" applyNumberFormat="1" applyAlignment="1">
      <alignment wrapText="1"/>
    </xf>
    <xf numFmtId="0" fontId="0" fillId="0" borderId="0" xfId="0" applyNumberFormat="1" applyFill="1" applyAlignment="1">
      <alignment wrapText="1"/>
    </xf>
    <xf numFmtId="0" fontId="72" fillId="0" borderId="10" xfId="0" applyFont="1" applyBorder="1" applyAlignment="1">
      <alignment horizontal="center" vertical="top"/>
    </xf>
    <xf numFmtId="0" fontId="0" fillId="0" borderId="54" xfId="0" applyNumberFormat="1" applyBorder="1" applyAlignment="1" applyProtection="1">
      <alignment/>
      <protection locked="0"/>
    </xf>
    <xf numFmtId="0" fontId="0" fillId="0" borderId="18" xfId="0" applyNumberFormat="1" applyBorder="1" applyAlignment="1" applyProtection="1">
      <alignment horizontal="left" indent="1"/>
      <protection locked="0"/>
    </xf>
    <xf numFmtId="0" fontId="0" fillId="0" borderId="0" xfId="0" applyNumberFormat="1" applyBorder="1" applyAlignment="1" applyProtection="1">
      <alignment/>
      <protection locked="0"/>
    </xf>
    <xf numFmtId="0" fontId="59" fillId="0" borderId="21" xfId="0" applyNumberFormat="1" applyFont="1" applyBorder="1" applyAlignment="1" applyProtection="1">
      <alignment/>
      <protection locked="0"/>
    </xf>
    <xf numFmtId="0" fontId="0" fillId="0" borderId="0" xfId="0" applyNumberFormat="1" applyAlignment="1" applyProtection="1">
      <alignment horizontal="left"/>
      <protection locked="0"/>
    </xf>
    <xf numFmtId="0" fontId="0" fillId="0" borderId="50" xfId="0" applyNumberFormat="1" applyBorder="1" applyAlignment="1">
      <alignment vertical="center" wrapText="1"/>
    </xf>
    <xf numFmtId="0" fontId="59" fillId="0" borderId="70" xfId="0" applyNumberFormat="1" applyFont="1" applyBorder="1" applyAlignment="1">
      <alignment vertical="center" wrapText="1"/>
    </xf>
    <xf numFmtId="0" fontId="0" fillId="0" borderId="33" xfId="0" applyNumberFormat="1" applyBorder="1" applyAlignment="1">
      <alignment/>
    </xf>
    <xf numFmtId="0" fontId="0" fillId="0" borderId="17" xfId="0" applyNumberFormat="1" applyBorder="1" applyAlignment="1">
      <alignment vertical="center" wrapText="1"/>
    </xf>
    <xf numFmtId="0" fontId="0" fillId="0" borderId="37" xfId="0" applyNumberFormat="1" applyBorder="1" applyAlignment="1">
      <alignment vertical="center" wrapText="1"/>
    </xf>
    <xf numFmtId="0" fontId="0" fillId="0" borderId="70" xfId="0" applyBorder="1" applyAlignment="1">
      <alignment vertical="center" wrapText="1"/>
    </xf>
    <xf numFmtId="0" fontId="0" fillId="0" borderId="17" xfId="0" applyNumberFormat="1" applyBorder="1" applyAlignment="1">
      <alignment/>
    </xf>
    <xf numFmtId="0" fontId="0" fillId="0" borderId="10" xfId="0" applyNumberFormat="1" applyBorder="1" applyAlignment="1">
      <alignment vertical="top"/>
    </xf>
    <xf numFmtId="0" fontId="0" fillId="0" borderId="12" xfId="0" applyNumberFormat="1" applyBorder="1" applyAlignment="1">
      <alignment vertical="top"/>
    </xf>
    <xf numFmtId="0" fontId="0" fillId="0" borderId="10" xfId="0" applyNumberFormat="1" applyBorder="1" applyAlignment="1">
      <alignment vertical="top" wrapText="1"/>
    </xf>
    <xf numFmtId="167" fontId="0" fillId="13" borderId="51" xfId="53" applyNumberFormat="1" applyFont="1" applyFill="1" applyBorder="1" applyAlignment="1" applyProtection="1">
      <alignment horizontal="right" indent="1"/>
      <protection locked="0"/>
    </xf>
    <xf numFmtId="6" fontId="0" fillId="0" borderId="19" xfId="0" applyNumberFormat="1" applyFont="1" applyBorder="1" applyAlignment="1" applyProtection="1">
      <alignment horizontal="right"/>
      <protection hidden="1"/>
    </xf>
    <xf numFmtId="167" fontId="0" fillId="13" borderId="19" xfId="53" applyNumberFormat="1" applyFont="1" applyFill="1" applyBorder="1" applyAlignment="1" applyProtection="1">
      <alignment horizontal="right" indent="1"/>
      <protection locked="0"/>
    </xf>
    <xf numFmtId="0" fontId="0" fillId="13" borderId="19" xfId="0" applyFont="1" applyFill="1" applyBorder="1" applyAlignment="1" applyProtection="1">
      <alignment horizontal="right" indent="2"/>
      <protection locked="0"/>
    </xf>
    <xf numFmtId="6" fontId="0" fillId="0" borderId="68" xfId="0" applyNumberFormat="1" applyFont="1" applyBorder="1" applyAlignment="1" applyProtection="1">
      <alignment horizontal="right"/>
      <protection hidden="1"/>
    </xf>
    <xf numFmtId="6" fontId="59" fillId="0" borderId="28" xfId="0" applyNumberFormat="1" applyFont="1" applyBorder="1" applyAlignment="1" applyProtection="1">
      <alignment horizontal="right" vertical="center"/>
      <protection hidden="1"/>
    </xf>
    <xf numFmtId="0" fontId="62" fillId="0" borderId="0" xfId="52" applyFont="1" applyBorder="1" applyAlignment="1" applyProtection="1">
      <alignment horizontal="left" vertical="top" wrapText="1"/>
      <protection hidden="1"/>
    </xf>
    <xf numFmtId="0" fontId="0" fillId="13" borderId="0" xfId="0" applyNumberFormat="1" applyFill="1" applyAlignment="1">
      <alignment wrapText="1"/>
    </xf>
    <xf numFmtId="0" fontId="49" fillId="0" borderId="0" xfId="45" applyAlignment="1" applyProtection="1" quotePrefix="1">
      <alignment horizontal="left" indent="6"/>
      <protection hidden="1"/>
    </xf>
    <xf numFmtId="0" fontId="49" fillId="0" borderId="0" xfId="45" applyAlignment="1" applyProtection="1">
      <alignment horizontal="left" indent="3"/>
      <protection/>
    </xf>
    <xf numFmtId="0" fontId="73" fillId="0" borderId="0" xfId="52" applyFont="1" applyAlignment="1" applyProtection="1">
      <alignment horizontal="center"/>
      <protection hidden="1"/>
    </xf>
    <xf numFmtId="0" fontId="73" fillId="0" borderId="41" xfId="52" applyFont="1" applyBorder="1" applyAlignment="1" applyProtection="1">
      <alignment horizontal="center"/>
      <protection hidden="1"/>
    </xf>
    <xf numFmtId="0" fontId="73" fillId="0" borderId="59" xfId="52" applyFont="1" applyBorder="1" applyAlignment="1" applyProtection="1">
      <alignment horizontal="center"/>
      <protection hidden="1"/>
    </xf>
    <xf numFmtId="0" fontId="73" fillId="0" borderId="42" xfId="52" applyFont="1" applyBorder="1" applyAlignment="1" applyProtection="1">
      <alignment horizontal="center"/>
      <protection hidden="1"/>
    </xf>
    <xf numFmtId="0" fontId="59" fillId="0" borderId="0" xfId="0" applyFont="1" applyAlignment="1">
      <alignment horizontal="left"/>
    </xf>
    <xf numFmtId="0" fontId="59" fillId="0" borderId="0" xfId="0" applyFont="1" applyBorder="1" applyAlignment="1" applyProtection="1">
      <alignment horizontal="left"/>
      <protection hidden="1"/>
    </xf>
    <xf numFmtId="0" fontId="0" fillId="0" borderId="21" xfId="0" applyFont="1" applyBorder="1" applyAlignment="1" applyProtection="1">
      <alignment horizontal="left" vertical="center"/>
      <protection locked="0"/>
    </xf>
    <xf numFmtId="175" fontId="0" fillId="13" borderId="24" xfId="0" applyNumberFormat="1" applyFont="1" applyFill="1" applyBorder="1" applyAlignment="1" applyProtection="1">
      <alignment horizontal="right" vertical="center"/>
      <protection locked="0"/>
    </xf>
    <xf numFmtId="0" fontId="65" fillId="13" borderId="0" xfId="0" applyFont="1" applyFill="1" applyBorder="1" applyAlignment="1" applyProtection="1">
      <alignment horizontal="left" vertical="top"/>
      <protection locked="0"/>
    </xf>
    <xf numFmtId="0" fontId="0" fillId="0" borderId="17" xfId="0" applyBorder="1" applyAlignment="1" applyProtection="1">
      <alignment horizontal="right" vertical="center"/>
      <protection locked="0"/>
    </xf>
    <xf numFmtId="9" fontId="0" fillId="0" borderId="75" xfId="0" applyNumberFormat="1" applyFont="1" applyBorder="1" applyAlignment="1" applyProtection="1">
      <alignment horizontal="center" vertical="center"/>
      <protection hidden="1"/>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3" xfId="0" applyBorder="1" applyAlignment="1" applyProtection="1">
      <alignment horizontal="right" vertical="center"/>
      <protection locked="0"/>
    </xf>
    <xf numFmtId="9" fontId="0" fillId="0" borderId="76" xfId="0" applyNumberFormat="1" applyFont="1" applyBorder="1" applyAlignment="1" applyProtection="1">
      <alignment horizontal="center" vertical="center"/>
      <protection hidden="1"/>
    </xf>
    <xf numFmtId="168" fontId="0" fillId="0" borderId="16" xfId="0" applyNumberFormat="1" applyFont="1" applyBorder="1" applyAlignment="1" applyProtection="1">
      <alignment vertical="center"/>
      <protection hidden="1"/>
    </xf>
    <xf numFmtId="3" fontId="59" fillId="0" borderId="26" xfId="0" applyNumberFormat="1" applyFont="1" applyBorder="1" applyAlignment="1" applyProtection="1">
      <alignment vertical="center"/>
      <protection locked="0"/>
    </xf>
    <xf numFmtId="3" fontId="59" fillId="0" borderId="74" xfId="0" applyNumberFormat="1" applyFont="1" applyFill="1" applyBorder="1" applyAlignment="1" applyProtection="1">
      <alignment horizontal="center" vertical="center"/>
      <protection hidden="1"/>
    </xf>
    <xf numFmtId="9" fontId="59" fillId="0" borderId="69" xfId="0" applyNumberFormat="1" applyFont="1" applyBorder="1" applyAlignment="1" applyProtection="1">
      <alignment horizontal="center" vertical="center"/>
      <protection hidden="1"/>
    </xf>
    <xf numFmtId="167" fontId="0" fillId="0" borderId="10" xfId="53" applyNumberFormat="1" applyFont="1" applyBorder="1" applyAlignment="1" applyProtection="1">
      <alignment horizontal="center" vertical="center"/>
      <protection hidden="1"/>
    </xf>
    <xf numFmtId="175" fontId="0" fillId="0" borderId="24" xfId="0" applyNumberFormat="1" applyFont="1" applyFill="1" applyBorder="1" applyAlignment="1" applyProtection="1">
      <alignment horizontal="right" vertical="center"/>
      <protection hidden="1"/>
    </xf>
    <xf numFmtId="0" fontId="0" fillId="0" borderId="21" xfId="0" applyFont="1" applyBorder="1" applyAlignment="1" applyProtection="1">
      <alignment horizontal="center" vertical="center"/>
      <protection hidden="1"/>
    </xf>
    <xf numFmtId="1" fontId="0" fillId="0" borderId="21" xfId="0" applyNumberFormat="1" applyFont="1" applyBorder="1" applyAlignment="1" applyProtection="1">
      <alignment horizontal="center" vertical="center"/>
      <protection hidden="1"/>
    </xf>
    <xf numFmtId="1" fontId="0" fillId="0" borderId="0" xfId="0" applyNumberFormat="1" applyFont="1" applyBorder="1" applyAlignment="1" applyProtection="1">
      <alignment horizontal="center" vertical="center"/>
      <protection hidden="1"/>
    </xf>
    <xf numFmtId="187" fontId="0" fillId="0" borderId="10" xfId="0" applyNumberFormat="1" applyFont="1" applyBorder="1" applyAlignment="1" applyProtection="1">
      <alignment horizontal="center" vertical="center"/>
      <protection hidden="1"/>
    </xf>
    <xf numFmtId="6" fontId="0" fillId="0" borderId="10" xfId="0" applyNumberFormat="1" applyFont="1" applyBorder="1" applyAlignment="1" applyProtection="1">
      <alignment vertical="center"/>
      <protection hidden="1"/>
    </xf>
    <xf numFmtId="167" fontId="0" fillId="0" borderId="77" xfId="53" applyNumberFormat="1" applyFont="1" applyBorder="1" applyAlignment="1" applyProtection="1">
      <alignment horizontal="center" vertical="center"/>
      <protection hidden="1"/>
    </xf>
    <xf numFmtId="175" fontId="0" fillId="0" borderId="48" xfId="0" applyNumberFormat="1" applyFont="1" applyFill="1" applyBorder="1" applyAlignment="1" applyProtection="1">
      <alignment horizontal="right" vertical="center"/>
      <protection hidden="1"/>
    </xf>
    <xf numFmtId="0" fontId="0" fillId="0" borderId="0" xfId="0" applyFont="1" applyBorder="1" applyAlignment="1" applyProtection="1">
      <alignment horizontal="center" vertical="center"/>
      <protection hidden="1"/>
    </xf>
    <xf numFmtId="187" fontId="0" fillId="0" borderId="63" xfId="0" applyNumberFormat="1" applyFont="1" applyBorder="1" applyAlignment="1" applyProtection="1">
      <alignment horizontal="center" vertical="center"/>
      <protection hidden="1"/>
    </xf>
    <xf numFmtId="6" fontId="0" fillId="0" borderId="48" xfId="0" applyNumberFormat="1" applyFont="1" applyBorder="1" applyAlignment="1" applyProtection="1">
      <alignment vertical="center"/>
      <protection hidden="1"/>
    </xf>
    <xf numFmtId="0" fontId="0" fillId="0" borderId="25" xfId="0" applyFont="1" applyBorder="1" applyAlignment="1" applyProtection="1">
      <alignment horizontal="center" vertical="center"/>
      <protection hidden="1"/>
    </xf>
    <xf numFmtId="1" fontId="59" fillId="0" borderId="25" xfId="0" applyNumberFormat="1" applyFont="1" applyBorder="1" applyAlignment="1" applyProtection="1">
      <alignment horizontal="center" vertical="center"/>
      <protection hidden="1"/>
    </xf>
    <xf numFmtId="0" fontId="59" fillId="0" borderId="26" xfId="0" applyFont="1" applyBorder="1" applyAlignment="1" applyProtection="1">
      <alignment/>
      <protection hidden="1"/>
    </xf>
    <xf numFmtId="0" fontId="59" fillId="0" borderId="11" xfId="0" applyFont="1" applyBorder="1" applyAlignment="1" applyProtection="1">
      <alignment horizontal="center"/>
      <protection hidden="1"/>
    </xf>
    <xf numFmtId="0" fontId="59" fillId="0" borderId="28" xfId="0" applyFont="1" applyBorder="1" applyAlignment="1" applyProtection="1">
      <alignment horizontal="center"/>
      <protection hidden="1"/>
    </xf>
    <xf numFmtId="0" fontId="0" fillId="0" borderId="36" xfId="0" applyBorder="1" applyAlignment="1" applyProtection="1">
      <alignment vertical="center" wrapText="1"/>
      <protection hidden="1"/>
    </xf>
    <xf numFmtId="178" fontId="0" fillId="0" borderId="53" xfId="0" applyNumberFormat="1" applyFont="1" applyBorder="1" applyAlignment="1" applyProtection="1">
      <alignment horizontal="right" vertical="center" indent="1"/>
      <protection hidden="1"/>
    </xf>
    <xf numFmtId="0" fontId="0" fillId="0" borderId="35" xfId="0" applyBorder="1" applyAlignment="1" applyProtection="1">
      <alignment/>
      <protection hidden="1"/>
    </xf>
    <xf numFmtId="0" fontId="59" fillId="0" borderId="36" xfId="0" applyFont="1" applyBorder="1" applyAlignment="1" applyProtection="1">
      <alignment/>
      <protection hidden="1"/>
    </xf>
    <xf numFmtId="166" fontId="59" fillId="0" borderId="32" xfId="0" applyNumberFormat="1" applyFont="1" applyBorder="1" applyAlignment="1" applyProtection="1">
      <alignment vertical="center"/>
      <protection hidden="1"/>
    </xf>
    <xf numFmtId="178" fontId="59" fillId="0" borderId="53" xfId="0" applyNumberFormat="1" applyFont="1" applyBorder="1" applyAlignment="1" applyProtection="1">
      <alignment horizontal="right" vertical="center" indent="1"/>
      <protection hidden="1"/>
    </xf>
    <xf numFmtId="0" fontId="0" fillId="0" borderId="22" xfId="0" applyBorder="1" applyAlignment="1" applyProtection="1">
      <alignment wrapText="1"/>
      <protection hidden="1"/>
    </xf>
    <xf numFmtId="178" fontId="0" fillId="0" borderId="23" xfId="0" applyNumberFormat="1" applyFont="1" applyBorder="1" applyAlignment="1" applyProtection="1">
      <alignment horizontal="right" vertical="center" indent="1"/>
      <protection hidden="1"/>
    </xf>
    <xf numFmtId="0" fontId="59" fillId="0" borderId="29" xfId="0" applyFont="1" applyFill="1" applyBorder="1" applyAlignment="1" applyProtection="1">
      <alignment/>
      <protection hidden="1"/>
    </xf>
    <xf numFmtId="178" fontId="59" fillId="0" borderId="28" xfId="0" applyNumberFormat="1" applyFont="1" applyBorder="1" applyAlignment="1" applyProtection="1">
      <alignment horizontal="right" vertical="center" indent="1"/>
      <protection hidden="1"/>
    </xf>
    <xf numFmtId="0" fontId="59" fillId="0" borderId="29" xfId="0" applyFont="1" applyBorder="1" applyAlignment="1" applyProtection="1">
      <alignment/>
      <protection hidden="1"/>
    </xf>
    <xf numFmtId="167" fontId="59" fillId="0" borderId="28" xfId="53" applyNumberFormat="1" applyFont="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50" xfId="0" applyFont="1" applyBorder="1" applyAlignment="1" applyProtection="1">
      <alignment/>
      <protection hidden="1"/>
    </xf>
    <xf numFmtId="6" fontId="0" fillId="0" borderId="51" xfId="0" applyNumberFormat="1" applyFont="1" applyBorder="1" applyAlignment="1" applyProtection="1">
      <alignment horizontal="right" vertical="center"/>
      <protection hidden="1"/>
    </xf>
    <xf numFmtId="0" fontId="0" fillId="0" borderId="17" xfId="0" applyFont="1" applyBorder="1" applyAlignment="1" applyProtection="1">
      <alignment/>
      <protection hidden="1"/>
    </xf>
    <xf numFmtId="6" fontId="0" fillId="0" borderId="19" xfId="0" applyNumberFormat="1" applyFont="1" applyBorder="1" applyAlignment="1" applyProtection="1">
      <alignment horizontal="right" vertical="center"/>
      <protection hidden="1"/>
    </xf>
    <xf numFmtId="0" fontId="59" fillId="0" borderId="70" xfId="0" applyFont="1" applyBorder="1" applyAlignment="1" applyProtection="1">
      <alignment/>
      <protection hidden="1"/>
    </xf>
    <xf numFmtId="167" fontId="59" fillId="0" borderId="68" xfId="53" applyNumberFormat="1" applyFont="1" applyBorder="1" applyAlignment="1" applyProtection="1">
      <alignment horizontal="center"/>
      <protection hidden="1"/>
    </xf>
    <xf numFmtId="0" fontId="65" fillId="34" borderId="41" xfId="52" applyFont="1" applyFill="1" applyBorder="1" applyAlignment="1" applyProtection="1">
      <alignment horizontal="center" vertical="top" wrapText="1"/>
      <protection hidden="1"/>
    </xf>
    <xf numFmtId="0" fontId="65" fillId="34" borderId="59" xfId="52" applyFont="1" applyFill="1" applyBorder="1" applyAlignment="1" applyProtection="1">
      <alignment horizontal="center" vertical="top" wrapText="1"/>
      <protection hidden="1"/>
    </xf>
    <xf numFmtId="0" fontId="65" fillId="34" borderId="42" xfId="52" applyFont="1" applyFill="1" applyBorder="1" applyAlignment="1" applyProtection="1">
      <alignment horizontal="center" vertical="top" wrapText="1"/>
      <protection hidden="1"/>
    </xf>
    <xf numFmtId="0" fontId="65" fillId="34" borderId="37" xfId="52" applyFont="1" applyFill="1" applyBorder="1" applyAlignment="1" applyProtection="1">
      <alignment horizontal="center" vertical="top" wrapText="1"/>
      <protection hidden="1"/>
    </xf>
    <xf numFmtId="0" fontId="65" fillId="34" borderId="46" xfId="52" applyFont="1" applyFill="1" applyBorder="1" applyAlignment="1" applyProtection="1">
      <alignment horizontal="center" vertical="top" wrapText="1"/>
      <protection hidden="1"/>
    </xf>
    <xf numFmtId="0" fontId="65" fillId="34" borderId="61" xfId="52" applyFont="1" applyFill="1" applyBorder="1" applyAlignment="1" applyProtection="1">
      <alignment horizontal="center" vertical="top" wrapText="1"/>
      <protection hidden="1"/>
    </xf>
    <xf numFmtId="0" fontId="0" fillId="0" borderId="0" xfId="52" applyFont="1" applyBorder="1" applyAlignment="1" applyProtection="1">
      <alignment horizontal="left" vertical="top" wrapText="1"/>
      <protection hidden="1"/>
    </xf>
    <xf numFmtId="0" fontId="0" fillId="0" borderId="41" xfId="52" applyFont="1" applyBorder="1" applyAlignment="1" applyProtection="1">
      <alignment horizontal="center"/>
      <protection hidden="1"/>
    </xf>
    <xf numFmtId="0" fontId="0" fillId="0" borderId="78" xfId="52" applyFont="1" applyBorder="1" applyAlignment="1" applyProtection="1">
      <alignment horizontal="center"/>
      <protection hidden="1"/>
    </xf>
    <xf numFmtId="0" fontId="0" fillId="0" borderId="52" xfId="52" applyFont="1" applyBorder="1" applyAlignment="1" applyProtection="1">
      <alignment horizontal="center"/>
      <protection hidden="1"/>
    </xf>
    <xf numFmtId="0" fontId="0" fillId="0" borderId="31" xfId="52" applyFont="1" applyBorder="1" applyAlignment="1" applyProtection="1">
      <alignment horizontal="center"/>
      <protection hidden="1"/>
    </xf>
    <xf numFmtId="0" fontId="0" fillId="0" borderId="34" xfId="52" applyFont="1" applyBorder="1" applyAlignment="1" applyProtection="1">
      <alignment horizontal="center"/>
      <protection hidden="1"/>
    </xf>
    <xf numFmtId="0" fontId="0" fillId="0" borderId="51" xfId="52" applyFont="1" applyBorder="1" applyAlignment="1" applyProtection="1">
      <alignment horizontal="center"/>
      <protection hidden="1"/>
    </xf>
    <xf numFmtId="0" fontId="62" fillId="0" borderId="56" xfId="52" applyFont="1" applyBorder="1" applyAlignment="1" applyProtection="1">
      <alignment horizontal="center"/>
      <protection hidden="1"/>
    </xf>
    <xf numFmtId="0" fontId="62" fillId="0" borderId="62" xfId="52" applyFont="1" applyBorder="1" applyAlignment="1" applyProtection="1">
      <alignment horizontal="center"/>
      <protection hidden="1"/>
    </xf>
    <xf numFmtId="0" fontId="0" fillId="0" borderId="0" xfId="52" applyFont="1" applyBorder="1" applyAlignment="1" applyProtection="1">
      <alignment horizontal="left"/>
      <protection hidden="1"/>
    </xf>
    <xf numFmtId="0" fontId="74" fillId="34" borderId="0" xfId="52" applyFont="1" applyFill="1" applyBorder="1" applyAlignment="1" applyProtection="1">
      <alignment horizontal="center" vertical="center" wrapText="1"/>
      <protection hidden="1"/>
    </xf>
    <xf numFmtId="0" fontId="73" fillId="0" borderId="46" xfId="52" applyFont="1" applyBorder="1" applyAlignment="1" applyProtection="1">
      <alignment horizontal="center"/>
      <protection hidden="1"/>
    </xf>
    <xf numFmtId="0" fontId="73" fillId="0" borderId="0" xfId="52" applyFont="1" applyAlignment="1" applyProtection="1">
      <alignment horizontal="center"/>
      <protection hidden="1"/>
    </xf>
    <xf numFmtId="0" fontId="62" fillId="0" borderId="0" xfId="52" applyFont="1" applyAlignment="1" applyProtection="1">
      <alignment horizontal="left" wrapText="1"/>
      <protection hidden="1"/>
    </xf>
    <xf numFmtId="0" fontId="62" fillId="0" borderId="44" xfId="52" applyFont="1" applyBorder="1" applyAlignment="1" applyProtection="1">
      <alignment horizontal="left"/>
      <protection hidden="1"/>
    </xf>
    <xf numFmtId="0" fontId="62" fillId="0" borderId="0" xfId="52" applyFont="1" applyBorder="1" applyAlignment="1" applyProtection="1">
      <alignment horizontal="left"/>
      <protection hidden="1"/>
    </xf>
    <xf numFmtId="0" fontId="62" fillId="0" borderId="45" xfId="52" applyFont="1" applyBorder="1" applyAlignment="1" applyProtection="1">
      <alignment horizontal="left"/>
      <protection hidden="1"/>
    </xf>
    <xf numFmtId="0" fontId="63" fillId="0" borderId="18" xfId="52" applyFont="1" applyBorder="1" applyAlignment="1" applyProtection="1">
      <alignment horizontal="left" vertical="top" wrapText="1"/>
      <protection hidden="1"/>
    </xf>
    <xf numFmtId="0" fontId="63" fillId="0" borderId="55" xfId="52" applyFont="1" applyBorder="1" applyAlignment="1" applyProtection="1">
      <alignment horizontal="left" vertical="top" wrapText="1"/>
      <protection hidden="1"/>
    </xf>
    <xf numFmtId="0" fontId="63" fillId="0" borderId="62" xfId="52" applyFont="1" applyBorder="1" applyAlignment="1" applyProtection="1">
      <alignment horizontal="left" vertical="top" wrapText="1"/>
      <protection hidden="1"/>
    </xf>
    <xf numFmtId="0" fontId="63" fillId="0" borderId="48" xfId="52" applyFont="1" applyBorder="1" applyAlignment="1" applyProtection="1">
      <alignment horizontal="left" vertical="top" wrapText="1"/>
      <protection hidden="1"/>
    </xf>
    <xf numFmtId="0" fontId="63" fillId="0" borderId="0" xfId="52" applyFont="1" applyBorder="1" applyAlignment="1" applyProtection="1">
      <alignment horizontal="left" vertical="top" wrapText="1"/>
      <protection hidden="1"/>
    </xf>
    <xf numFmtId="0" fontId="63" fillId="0" borderId="63" xfId="52" applyFont="1" applyBorder="1" applyAlignment="1" applyProtection="1">
      <alignment horizontal="left" vertical="top" wrapText="1"/>
      <protection hidden="1"/>
    </xf>
    <xf numFmtId="0" fontId="63" fillId="0" borderId="49" xfId="52" applyFont="1" applyBorder="1" applyAlignment="1" applyProtection="1">
      <alignment horizontal="left" vertical="top" wrapText="1"/>
      <protection hidden="1"/>
    </xf>
    <xf numFmtId="0" fontId="63" fillId="0" borderId="54" xfId="52" applyFont="1" applyBorder="1" applyAlignment="1" applyProtection="1">
      <alignment horizontal="left" vertical="top" wrapText="1"/>
      <protection hidden="1"/>
    </xf>
    <xf numFmtId="0" fontId="63" fillId="0" borderId="31" xfId="52" applyFont="1" applyBorder="1" applyAlignment="1" applyProtection="1">
      <alignment horizontal="left" vertical="top" wrapText="1"/>
      <protection hidden="1"/>
    </xf>
    <xf numFmtId="0" fontId="62" fillId="0" borderId="18" xfId="52" applyFont="1" applyBorder="1" applyAlignment="1" applyProtection="1">
      <alignment horizontal="left" vertical="top" wrapText="1"/>
      <protection hidden="1"/>
    </xf>
    <xf numFmtId="0" fontId="62" fillId="0" borderId="55" xfId="52" applyFont="1" applyBorder="1" applyAlignment="1" applyProtection="1">
      <alignment horizontal="left" vertical="top" wrapText="1"/>
      <protection hidden="1"/>
    </xf>
    <xf numFmtId="0" fontId="62" fillId="0" borderId="62" xfId="52" applyFont="1" applyBorder="1" applyAlignment="1" applyProtection="1">
      <alignment horizontal="left" vertical="top" wrapText="1"/>
      <protection hidden="1"/>
    </xf>
    <xf numFmtId="0" fontId="62" fillId="0" borderId="48" xfId="52" applyFont="1" applyBorder="1" applyAlignment="1" applyProtection="1">
      <alignment horizontal="left" vertical="top" wrapText="1"/>
      <protection hidden="1"/>
    </xf>
    <xf numFmtId="0" fontId="62" fillId="0" borderId="0" xfId="52" applyFont="1" applyBorder="1" applyAlignment="1" applyProtection="1">
      <alignment horizontal="left" vertical="top" wrapText="1"/>
      <protection hidden="1"/>
    </xf>
    <xf numFmtId="0" fontId="62" fillId="0" borderId="63" xfId="52" applyFont="1" applyBorder="1" applyAlignment="1" applyProtection="1">
      <alignment horizontal="left" vertical="top" wrapText="1"/>
      <protection hidden="1"/>
    </xf>
    <xf numFmtId="0" fontId="62" fillId="0" borderId="49" xfId="52" applyFont="1" applyBorder="1" applyAlignment="1" applyProtection="1">
      <alignment horizontal="left" vertical="top" wrapText="1"/>
      <protection hidden="1"/>
    </xf>
    <xf numFmtId="0" fontId="62" fillId="0" borderId="54" xfId="52" applyFont="1" applyBorder="1" applyAlignment="1" applyProtection="1">
      <alignment horizontal="left" vertical="top" wrapText="1"/>
      <protection hidden="1"/>
    </xf>
    <xf numFmtId="0" fontId="62" fillId="0" borderId="31" xfId="52" applyFont="1" applyBorder="1" applyAlignment="1" applyProtection="1">
      <alignment horizontal="left" vertical="top" wrapText="1"/>
      <protection hidden="1"/>
    </xf>
    <xf numFmtId="0" fontId="0" fillId="0" borderId="0" xfId="52" applyFont="1" applyFill="1" applyBorder="1" applyAlignment="1" applyProtection="1">
      <alignment horizontal="left"/>
      <protection hidden="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0" xfId="0" applyBorder="1" applyAlignment="1" applyProtection="1">
      <alignment horizontal="left" wrapText="1"/>
      <protection locked="0"/>
    </xf>
    <xf numFmtId="0" fontId="0" fillId="0" borderId="10" xfId="0" applyBorder="1" applyAlignment="1" applyProtection="1">
      <alignment horizontal="left"/>
      <protection locked="0"/>
    </xf>
    <xf numFmtId="0" fontId="0" fillId="13" borderId="64" xfId="0" applyFont="1" applyFill="1" applyBorder="1" applyAlignment="1" applyProtection="1">
      <alignment horizontal="center" wrapText="1"/>
      <protection locked="0"/>
    </xf>
    <xf numFmtId="0" fontId="0" fillId="13" borderId="32" xfId="0" applyFont="1" applyFill="1" applyBorder="1" applyAlignment="1" applyProtection="1">
      <alignment horizontal="center" wrapText="1"/>
      <protection locked="0"/>
    </xf>
    <xf numFmtId="0" fontId="59" fillId="0" borderId="24" xfId="0" applyFont="1" applyBorder="1" applyAlignment="1" applyProtection="1">
      <alignment horizontal="center"/>
      <protection locked="0"/>
    </xf>
    <xf numFmtId="0" fontId="59" fillId="0" borderId="20" xfId="0" applyFont="1"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ont="1" applyBorder="1" applyAlignment="1" applyProtection="1">
      <alignment horizontal="right"/>
      <protection locked="0"/>
    </xf>
    <xf numFmtId="0" fontId="59" fillId="0" borderId="54" xfId="0" applyFont="1" applyBorder="1" applyAlignment="1" applyProtection="1">
      <alignment horizontal="center"/>
      <protection locked="0"/>
    </xf>
    <xf numFmtId="0" fontId="59" fillId="0" borderId="0" xfId="0" applyFont="1" applyAlignment="1" applyProtection="1">
      <alignment horizontal="left"/>
      <protection locked="0"/>
    </xf>
    <xf numFmtId="0" fontId="59" fillId="0" borderId="46" xfId="0" applyNumberFormat="1" applyFont="1" applyBorder="1" applyAlignment="1">
      <alignment horizontal="left"/>
    </xf>
    <xf numFmtId="0" fontId="59" fillId="0" borderId="46" xfId="0" applyFont="1" applyBorder="1" applyAlignment="1">
      <alignment horizontal="left"/>
    </xf>
    <xf numFmtId="0" fontId="59" fillId="0" borderId="46" xfId="0" applyFont="1" applyBorder="1" applyAlignment="1">
      <alignment horizontal="center"/>
    </xf>
    <xf numFmtId="0" fontId="59" fillId="0" borderId="22"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15" xfId="0" applyFont="1" applyBorder="1" applyAlignment="1">
      <alignment horizontal="center" vertical="center"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17" xfId="0" applyNumberFormat="1" applyBorder="1" applyAlignment="1">
      <alignment horizontal="left" vertical="top" wrapText="1"/>
    </xf>
    <xf numFmtId="0" fontId="0" fillId="0" borderId="10" xfId="0" applyBorder="1" applyAlignment="1">
      <alignment horizontal="lef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0" fillId="0" borderId="24" xfId="0" applyNumberFormat="1" applyBorder="1" applyAlignment="1">
      <alignment horizontal="left" vertical="top" wrapText="1"/>
    </xf>
    <xf numFmtId="0" fontId="0" fillId="0" borderId="21" xfId="0" applyFont="1" applyBorder="1" applyAlignment="1">
      <alignment horizontal="left" vertical="top" wrapText="1"/>
    </xf>
    <xf numFmtId="0" fontId="0" fillId="0" borderId="20" xfId="0" applyFont="1" applyBorder="1" applyAlignment="1">
      <alignment horizontal="left" vertical="top" wrapText="1"/>
    </xf>
    <xf numFmtId="0" fontId="0" fillId="0" borderId="59" xfId="0" applyNumberFormat="1" applyBorder="1" applyAlignment="1">
      <alignment horizontal="left" vertical="top" wrapText="1"/>
    </xf>
    <xf numFmtId="0" fontId="0" fillId="0" borderId="59" xfId="0" applyFont="1" applyBorder="1" applyAlignment="1">
      <alignment horizontal="left" vertical="top" wrapText="1"/>
    </xf>
    <xf numFmtId="0" fontId="0" fillId="0" borderId="0" xfId="0" applyFont="1" applyAlignment="1">
      <alignment horizontal="left" vertical="top" wrapText="1"/>
    </xf>
    <xf numFmtId="0" fontId="0" fillId="0" borderId="17" xfId="0" applyBorder="1" applyAlignment="1">
      <alignment horizontal="left" vertical="top" wrapText="1"/>
    </xf>
    <xf numFmtId="0" fontId="59" fillId="0" borderId="50" xfId="0" applyFont="1" applyBorder="1" applyAlignment="1">
      <alignment horizontal="center"/>
    </xf>
    <xf numFmtId="0" fontId="59" fillId="0" borderId="79" xfId="0" applyFont="1" applyBorder="1" applyAlignment="1">
      <alignment horizontal="center"/>
    </xf>
    <xf numFmtId="0" fontId="0" fillId="0" borderId="52" xfId="0" applyBorder="1" applyAlignment="1">
      <alignment horizontal="left" vertical="top" wrapText="1"/>
    </xf>
    <xf numFmtId="0" fontId="0" fillId="0" borderId="31" xfId="0" applyBorder="1" applyAlignment="1">
      <alignment horizontal="left" vertical="top" wrapText="1"/>
    </xf>
    <xf numFmtId="0" fontId="0" fillId="0" borderId="70" xfId="0" applyBorder="1" applyAlignment="1">
      <alignment horizontal="left" vertical="top" wrapText="1"/>
    </xf>
    <xf numFmtId="0" fontId="0" fillId="0" borderId="80" xfId="0" applyBorder="1" applyAlignment="1">
      <alignment horizontal="left" vertical="top" wrapText="1"/>
    </xf>
    <xf numFmtId="0" fontId="0" fillId="0" borderId="0" xfId="0" applyFont="1" applyAlignment="1">
      <alignment horizontal="left" wrapText="1"/>
    </xf>
    <xf numFmtId="0" fontId="0" fillId="0" borderId="33" xfId="0" applyNumberFormat="1" applyBorder="1" applyAlignment="1">
      <alignment horizontal="left"/>
    </xf>
    <xf numFmtId="0" fontId="0" fillId="0" borderId="34" xfId="0" applyFont="1" applyBorder="1" applyAlignment="1">
      <alignment horizontal="left"/>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37" xfId="0" applyFont="1" applyBorder="1" applyAlignment="1" applyProtection="1">
      <alignment horizontal="center"/>
      <protection locked="0"/>
    </xf>
    <xf numFmtId="0" fontId="0" fillId="0" borderId="61" xfId="0" applyFont="1" applyBorder="1" applyAlignment="1" applyProtection="1">
      <alignment horizontal="center"/>
      <protection locked="0"/>
    </xf>
    <xf numFmtId="0" fontId="0" fillId="0" borderId="21" xfId="0"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59" fillId="0" borderId="24" xfId="0" applyFont="1" applyBorder="1" applyAlignment="1" applyProtection="1">
      <alignment horizontal="left"/>
      <protection locked="0"/>
    </xf>
    <xf numFmtId="0" fontId="59" fillId="0" borderId="21" xfId="0" applyFont="1" applyBorder="1" applyAlignment="1" applyProtection="1">
      <alignment horizontal="left"/>
      <protection locked="0"/>
    </xf>
    <xf numFmtId="0" fontId="59" fillId="0" borderId="20" xfId="0" applyFont="1" applyBorder="1" applyAlignment="1" applyProtection="1">
      <alignment horizontal="left"/>
      <protection locked="0"/>
    </xf>
    <xf numFmtId="0" fontId="59" fillId="0" borderId="26" xfId="0" applyNumberFormat="1" applyFont="1" applyBorder="1" applyAlignment="1" applyProtection="1">
      <alignment horizontal="left" vertical="center"/>
      <protection locked="0"/>
    </xf>
    <xf numFmtId="0" fontId="59" fillId="0" borderId="25" xfId="0" applyFont="1" applyBorder="1" applyAlignment="1" applyProtection="1">
      <alignment horizontal="left" vertical="center"/>
      <protection locked="0"/>
    </xf>
    <xf numFmtId="0" fontId="0" fillId="0" borderId="0"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57" xfId="0" applyFont="1" applyBorder="1" applyAlignment="1" applyProtection="1">
      <alignment horizontal="left"/>
      <protection locked="0"/>
    </xf>
    <xf numFmtId="0" fontId="65" fillId="0" borderId="0" xfId="0" applyFont="1" applyBorder="1" applyAlignment="1" applyProtection="1">
      <alignment horizontal="right" vertical="top"/>
      <protection locked="0"/>
    </xf>
    <xf numFmtId="0" fontId="0" fillId="0" borderId="24" xfId="0"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59" fillId="0" borderId="26" xfId="0" applyNumberFormat="1" applyFont="1" applyBorder="1" applyAlignment="1" applyProtection="1">
      <alignment horizontal="left" vertical="center" wrapText="1" indent="1"/>
      <protection locked="0"/>
    </xf>
    <xf numFmtId="0" fontId="59" fillId="0" borderId="25" xfId="0" applyFont="1" applyBorder="1" applyAlignment="1" applyProtection="1">
      <alignment horizontal="left" vertical="center" wrapText="1" indent="1"/>
      <protection locked="0"/>
    </xf>
    <xf numFmtId="0" fontId="59" fillId="0" borderId="30" xfId="0" applyFont="1" applyBorder="1" applyAlignment="1" applyProtection="1">
      <alignment horizontal="left" vertical="center" wrapText="1" indent="1"/>
      <protection locked="0"/>
    </xf>
    <xf numFmtId="0" fontId="59" fillId="0" borderId="0" xfId="0" applyFont="1" applyAlignment="1" applyProtection="1">
      <alignment horizontal="center"/>
      <protection locked="0"/>
    </xf>
    <xf numFmtId="0" fontId="0" fillId="0" borderId="21" xfId="0" applyNumberFormat="1" applyBorder="1" applyAlignment="1" applyProtection="1">
      <alignment horizontal="left"/>
      <protection locked="0"/>
    </xf>
    <xf numFmtId="0" fontId="59" fillId="0" borderId="0" xfId="0" applyNumberFormat="1" applyFont="1" applyAlignment="1" applyProtection="1">
      <alignment horizontal="left"/>
      <protection locked="0"/>
    </xf>
    <xf numFmtId="0" fontId="59" fillId="0" borderId="0" xfId="0" applyFont="1" applyBorder="1" applyAlignment="1" applyProtection="1">
      <alignment horizontal="left" wrapText="1"/>
      <protection hidden="1"/>
    </xf>
    <xf numFmtId="0" fontId="59" fillId="0" borderId="0" xfId="0" applyFont="1" applyBorder="1" applyAlignment="1" applyProtection="1">
      <alignment horizontal="left"/>
      <protection hidden="1"/>
    </xf>
    <xf numFmtId="0" fontId="59" fillId="0" borderId="0" xfId="0" applyFont="1" applyAlignment="1" applyProtection="1">
      <alignment horizontal="left"/>
      <protection hidden="1"/>
    </xf>
    <xf numFmtId="0" fontId="0" fillId="0" borderId="44" xfId="0" applyFont="1" applyFill="1" applyBorder="1" applyAlignment="1">
      <alignment horizontal="left" indent="2"/>
    </xf>
    <xf numFmtId="0" fontId="0" fillId="0" borderId="0" xfId="0" applyFont="1" applyFill="1" applyBorder="1" applyAlignment="1">
      <alignment horizontal="left" indent="2"/>
    </xf>
    <xf numFmtId="0" fontId="0" fillId="0" borderId="63" xfId="0" applyFont="1" applyFill="1" applyBorder="1" applyAlignment="1">
      <alignment horizontal="left" indent="2"/>
    </xf>
    <xf numFmtId="0" fontId="59" fillId="0" borderId="26" xfId="0" applyFont="1" applyFill="1" applyBorder="1" applyAlignment="1">
      <alignment horizontal="left" vertical="center" indent="2"/>
    </xf>
    <xf numFmtId="0" fontId="59" fillId="0" borderId="25" xfId="0" applyFont="1" applyFill="1" applyBorder="1" applyAlignment="1">
      <alignment horizontal="left" vertical="center" indent="2"/>
    </xf>
    <xf numFmtId="0" fontId="59" fillId="0" borderId="74" xfId="0" applyFont="1" applyFill="1" applyBorder="1" applyAlignment="1">
      <alignment horizontal="left" vertical="center" indent="2"/>
    </xf>
    <xf numFmtId="0" fontId="59" fillId="0" borderId="0" xfId="0" applyFont="1" applyAlignment="1">
      <alignment horizontal="left"/>
    </xf>
    <xf numFmtId="9" fontId="59" fillId="0" borderId="24" xfId="53" applyFont="1" applyBorder="1" applyAlignment="1" applyProtection="1">
      <alignment horizontal="center" vertical="center"/>
      <protection hidden="1"/>
    </xf>
    <xf numFmtId="9" fontId="59" fillId="0" borderId="14" xfId="53" applyFont="1" applyBorder="1" applyAlignment="1" applyProtection="1">
      <alignment horizontal="center" vertical="center"/>
      <protection hidden="1"/>
    </xf>
    <xf numFmtId="9" fontId="0" fillId="0" borderId="67" xfId="53" applyFont="1" applyBorder="1" applyAlignment="1" applyProtection="1">
      <alignment horizontal="center" vertical="center"/>
      <protection hidden="1"/>
    </xf>
    <xf numFmtId="9" fontId="0" fillId="0" borderId="81" xfId="53" applyFont="1" applyBorder="1" applyAlignment="1" applyProtection="1">
      <alignment horizontal="center" vertical="center"/>
      <protection hidden="1"/>
    </xf>
    <xf numFmtId="0" fontId="0" fillId="0" borderId="41" xfId="0" applyFont="1" applyFill="1" applyBorder="1" applyAlignment="1">
      <alignment horizontal="left" indent="2"/>
    </xf>
    <xf numFmtId="0" fontId="0" fillId="0" borderId="59" xfId="0" applyFont="1" applyFill="1" applyBorder="1" applyAlignment="1">
      <alignment horizontal="left" indent="2"/>
    </xf>
    <xf numFmtId="0" fontId="0" fillId="0" borderId="78" xfId="0" applyFont="1" applyFill="1" applyBorder="1" applyAlignment="1">
      <alignment horizontal="left" indent="2"/>
    </xf>
    <xf numFmtId="0" fontId="59" fillId="0" borderId="46" xfId="0" applyNumberFormat="1" applyFont="1" applyBorder="1" applyAlignment="1">
      <alignment horizontal="center"/>
    </xf>
    <xf numFmtId="0" fontId="62" fillId="0" borderId="0" xfId="0" applyFont="1" applyAlignment="1" applyProtection="1">
      <alignment horizontal="left" vertical="top" wrapText="1"/>
      <protection hidden="1"/>
    </xf>
    <xf numFmtId="0" fontId="59" fillId="0" borderId="33" xfId="52" applyFont="1" applyBorder="1" applyAlignment="1" applyProtection="1">
      <alignment horizontal="center"/>
      <protection hidden="1"/>
    </xf>
    <xf numFmtId="0" fontId="59" fillId="0" borderId="51" xfId="52" applyFont="1" applyBorder="1" applyAlignment="1" applyProtection="1">
      <alignment horizontal="center"/>
      <protection hidden="1"/>
    </xf>
    <xf numFmtId="0" fontId="0" fillId="0" borderId="20" xfId="52" applyFont="1" applyBorder="1" applyAlignment="1" applyProtection="1">
      <alignment horizontal="left" vertical="top" wrapText="1"/>
      <protection hidden="1"/>
    </xf>
    <xf numFmtId="0" fontId="0" fillId="0" borderId="10" xfId="52" applyFont="1" applyBorder="1" applyAlignment="1" applyProtection="1">
      <alignment horizontal="left" vertical="top" wrapText="1"/>
      <protection hidden="1"/>
    </xf>
    <xf numFmtId="0" fontId="0" fillId="0" borderId="20" xfId="52" applyFont="1" applyBorder="1" applyAlignment="1" applyProtection="1">
      <alignment horizontal="left" vertical="top" wrapText="1"/>
      <protection hidden="1"/>
    </xf>
    <xf numFmtId="0" fontId="65" fillId="0" borderId="54" xfId="0" applyFont="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Milliers 2"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1685925</xdr:colOff>
      <xdr:row>14</xdr:row>
      <xdr:rowOff>104775</xdr:rowOff>
    </xdr:from>
    <xdr:to>
      <xdr:col>1</xdr:col>
      <xdr:colOff>1933575</xdr:colOff>
      <xdr:row>14</xdr:row>
      <xdr:rowOff>152400</xdr:rowOff>
    </xdr:to>
    <xdr:sp>
      <xdr:nvSpPr>
        <xdr:cNvPr id="1" name="Flèche droite rayée 1"/>
        <xdr:cNvSpPr>
          <a:spLocks/>
        </xdr:cNvSpPr>
      </xdr:nvSpPr>
      <xdr:spPr>
        <a:xfrm>
          <a:off x="1971675" y="3190875"/>
          <a:ext cx="247650" cy="47625"/>
        </a:xfrm>
        <a:custGeom>
          <a:pathLst>
            <a:path h="45719" w="242454">
              <a:moveTo>
                <a:pt x="0" y="11430"/>
              </a:moveTo>
              <a:lnTo>
                <a:pt x="1429" y="11430"/>
              </a:lnTo>
              <a:lnTo>
                <a:pt x="1429" y="34289"/>
              </a:lnTo>
              <a:lnTo>
                <a:pt x="0" y="34289"/>
              </a:lnTo>
              <a:close/>
              <a:moveTo>
                <a:pt x="0" y="34289"/>
              </a:moveTo>
              <a:lnTo>
                <a:pt x="2857" y="11430"/>
              </a:lnTo>
              <a:lnTo>
                <a:pt x="5715" y="11430"/>
              </a:lnTo>
              <a:lnTo>
                <a:pt x="5715" y="34289"/>
              </a:lnTo>
              <a:close/>
              <a:moveTo>
                <a:pt x="5715" y="34289"/>
              </a:moveTo>
              <a:lnTo>
                <a:pt x="2857" y="34289"/>
              </a:lnTo>
              <a:lnTo>
                <a:pt x="7144" y="11430"/>
              </a:lnTo>
              <a:lnTo>
                <a:pt x="219595" y="11430"/>
              </a:lnTo>
              <a:lnTo>
                <a:pt x="219595" y="0"/>
              </a:lnTo>
              <a:lnTo>
                <a:pt x="242454" y="22860"/>
              </a:lnTo>
              <a:lnTo>
                <a:pt x="219595" y="45719"/>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heatne.com/pdfs/2012/keyPrinciples/albrecht_boiler.pdf" TargetMode="External" /><Relationship Id="rId2" Type="http://schemas.openxmlformats.org/officeDocument/2006/relationships/hyperlink" Target="http://www.carbontrust.com/media/31667/ctg012_biomass_heating.pdf" TargetMode="External" /><Relationship Id="rId3" Type="http://schemas.openxmlformats.org/officeDocument/2006/relationships/hyperlink" Target="http://www2.ademe.fr/servlet/getDoc?sort=-1&amp;cid=96&amp;m=3&amp;id=42376&amp;ref=&amp;nocache=yes&amp;p1=111" TargetMode="External" /><Relationship Id="rId4" Type="http://schemas.openxmlformats.org/officeDocument/2006/relationships/hyperlink" Target="http://www2.ademe.fr/servlet/getDoc?cid=96&amp;m=3&amp;id=82628&amp;p1=30&amp;ref=12441" TargetMode="External" /><Relationship Id="rId5" Type="http://schemas.openxmlformats.org/officeDocument/2006/relationships/hyperlink" Target="http://www.spsq.info/spsq_fichiers/files/fiche_demarche_biomasse.pdf" TargetMode="External" /><Relationship Id="rId6" Type="http://schemas.openxmlformats.org/officeDocument/2006/relationships/hyperlink" Target="http://www.spsq.info/spsq_fichiers/files/fiche_approvisionnement_biomasse.pdf" TargetMode="External" /><Relationship Id="rId7" Type="http://schemas.openxmlformats.org/officeDocument/2006/relationships/hyperlink" Target="http://www.spsq.info/spsq_fichiers/files/fiche_technique_biomasse.pdf" TargetMode="External" /><Relationship Id="rId8" Type="http://schemas.openxmlformats.org/officeDocument/2006/relationships/hyperlink" Target="http://www.efficaciteenergetique.mrnf.gouv.qc.ca/clientele-affaires/industries/programmes-et-aide-financiere-destines-aux-industries/programme-de-reduction-de-consommation-de-mazout-lourd/" TargetMode="External" /><Relationship Id="rId9" Type="http://schemas.openxmlformats.org/officeDocument/2006/relationships/hyperlink" Target="http://www.efficaciteenergetique.mrnf.gouv.qc.ca/innovation-technologique/technoclimat/#c461" TargetMode="External" /><Relationship Id="rId10" Type="http://schemas.openxmlformats.org/officeDocument/2006/relationships/hyperlink" Target="http://www4.gouv.qc.ca/FR/Portail/Citoyens/programme-service/Pages/Info.aspx?sqctype=sujet&amp;sqcid=1411" TargetMode="External" /><Relationship Id="rId11" Type="http://schemas.openxmlformats.org/officeDocument/2006/relationships/hyperlink" Target="ftp://ftp.fao.org/docrep/fao/009/j6439f/j6439f06.pdf" TargetMode="External" /><Relationship Id="rId12" Type="http://schemas.openxmlformats.org/officeDocument/2006/relationships/hyperlink" Target="http://www.dgr.ca/ppt/Biomasse_forestiere_et_Bioenergie.pps" TargetMode="External" /><Relationship Id="rId13" Type="http://schemas.openxmlformats.org/officeDocument/2006/relationships/hyperlink" Target="http://www.biomasscenter.org/pdfs/DOER_Pellet_Guidebook.pdf" TargetMode="External" /><Relationship Id="rId14" Type="http://schemas.openxmlformats.org/officeDocument/2006/relationships/hyperlink" Target="http://www.cides.qc.ca/ingenierie.html" TargetMode="External" /><Relationship Id="rId1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B30"/>
  <sheetViews>
    <sheetView showGridLines="0" tabSelected="1" zoomScalePageLayoutView="0" workbookViewId="0" topLeftCell="A1">
      <selection activeCell="B3" sqref="B3"/>
    </sheetView>
  </sheetViews>
  <sheetFormatPr defaultColWidth="11.421875" defaultRowHeight="15"/>
  <cols>
    <col min="1" max="1" width="2.28125" style="0" customWidth="1"/>
    <col min="2" max="2" width="122.28125" style="0" customWidth="1"/>
  </cols>
  <sheetData>
    <row r="1" ht="9" customHeight="1"/>
    <row r="2" ht="15.75">
      <c r="B2" s="454" t="s">
        <v>235</v>
      </c>
    </row>
    <row r="3" ht="22.5" customHeight="1">
      <c r="B3" s="569" t="s">
        <v>290</v>
      </c>
    </row>
    <row r="4" ht="30">
      <c r="B4" s="568" t="s">
        <v>293</v>
      </c>
    </row>
    <row r="5" ht="4.5" customHeight="1"/>
    <row r="6" ht="15">
      <c r="B6" t="s">
        <v>319</v>
      </c>
    </row>
    <row r="7" ht="30">
      <c r="B7" s="592" t="s">
        <v>320</v>
      </c>
    </row>
    <row r="8" ht="4.5" customHeight="1"/>
    <row r="9" ht="60">
      <c r="B9" s="455" t="s">
        <v>321</v>
      </c>
    </row>
    <row r="10" ht="4.5" customHeight="1">
      <c r="B10" s="455"/>
    </row>
    <row r="11" ht="30">
      <c r="B11" s="567" t="s">
        <v>291</v>
      </c>
    </row>
    <row r="12" ht="4.5" customHeight="1"/>
    <row r="13" ht="30">
      <c r="B13" s="567" t="s">
        <v>292</v>
      </c>
    </row>
    <row r="14" ht="4.5" customHeight="1"/>
    <row r="15" ht="15.75" customHeight="1">
      <c r="B15" t="s">
        <v>236</v>
      </c>
    </row>
    <row r="16" ht="4.5" customHeight="1"/>
    <row r="17" ht="15" customHeight="1">
      <c r="B17" t="s">
        <v>322</v>
      </c>
    </row>
    <row r="18" ht="15" customHeight="1"/>
    <row r="19" ht="18.75">
      <c r="B19" s="463" t="s">
        <v>245</v>
      </c>
    </row>
    <row r="20" ht="15">
      <c r="B20" s="462" t="s">
        <v>237</v>
      </c>
    </row>
    <row r="21" ht="15">
      <c r="B21" s="593" t="s">
        <v>242</v>
      </c>
    </row>
    <row r="22" ht="15">
      <c r="B22" s="462" t="s">
        <v>238</v>
      </c>
    </row>
    <row r="23" ht="15">
      <c r="B23" s="594" t="s">
        <v>323</v>
      </c>
    </row>
    <row r="24" ht="15">
      <c r="B24" s="462" t="s">
        <v>239</v>
      </c>
    </row>
    <row r="25" ht="15">
      <c r="B25" s="462" t="s">
        <v>240</v>
      </c>
    </row>
    <row r="26" ht="15">
      <c r="B26" s="462" t="s">
        <v>241</v>
      </c>
    </row>
    <row r="27" ht="15">
      <c r="B27" s="462" t="s">
        <v>77</v>
      </c>
    </row>
    <row r="28" ht="15">
      <c r="B28" s="5"/>
    </row>
    <row r="29" ht="15">
      <c r="B29" s="5"/>
    </row>
    <row r="30" ht="15">
      <c r="B30" s="5"/>
    </row>
  </sheetData>
  <sheetProtection sheet="1" objects="1" scenarios="1"/>
  <hyperlinks>
    <hyperlink ref="B20" location="'1-Calculs-équivalences'!A3" display="1-Calculs-équivalences"/>
    <hyperlink ref="B21" location="'1-Calculs-équivalences'!A105" display="- Outils pour trouver les équivalences : ancien système vs nouveau système (à titre d'information seulement)"/>
    <hyperlink ref="B22" location="'2-Coûts des combustibles'!A3" display="2-Coûts des combustibles"/>
    <hyperlink ref="B23" location="'3-Frais de fonctionnement'!A1" display="3-Frais de fonctionnement"/>
    <hyperlink ref="B24" location="'4-Investissents'!A3" display="4-Investissents"/>
    <hyperlink ref="B25" location="'5-Évaluation économique'!A3" display="5-Évaluation économique"/>
    <hyperlink ref="B26" location="'6-PCS et PCI'!A3" display="6-PCS et PCI"/>
    <hyperlink ref="B27" location="Références!A3" display="Références"/>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133"/>
  <sheetViews>
    <sheetView showGridLines="0" zoomScalePageLayoutView="0" workbookViewId="0" topLeftCell="A1">
      <pane ySplit="2" topLeftCell="A3" activePane="bottomLeft" state="frozen"/>
      <selection pane="topLeft" activeCell="A1" sqref="A1"/>
      <selection pane="bottomLeft" activeCell="G89" sqref="G89:L89"/>
    </sheetView>
  </sheetViews>
  <sheetFormatPr defaultColWidth="11.421875" defaultRowHeight="15"/>
  <cols>
    <col min="1" max="1" width="4.28125" style="218" customWidth="1"/>
    <col min="2" max="2" width="20.140625" style="218" bestFit="1" customWidth="1"/>
    <col min="3" max="3" width="12.8515625" style="218" customWidth="1"/>
    <col min="4" max="5" width="17.140625" style="218" customWidth="1"/>
    <col min="6" max="6" width="7.140625" style="248" customWidth="1"/>
    <col min="7" max="7" width="3.140625" style="217" customWidth="1"/>
    <col min="8" max="8" width="38.57421875" style="218" customWidth="1"/>
    <col min="9" max="9" width="25.57421875" style="218" bestFit="1" customWidth="1"/>
    <col min="10" max="10" width="17.140625" style="218" customWidth="1"/>
    <col min="11" max="11" width="14.57421875" style="218" bestFit="1" customWidth="1"/>
    <col min="12" max="12" width="2.8515625" style="218" customWidth="1"/>
    <col min="13" max="13" width="26.140625" style="218" hidden="1" customWidth="1"/>
    <col min="14" max="14" width="5.7109375" style="218" hidden="1" customWidth="1"/>
    <col min="15" max="15" width="15.00390625" style="218" hidden="1" customWidth="1"/>
    <col min="16" max="17" width="11.421875" style="218" hidden="1" customWidth="1"/>
    <col min="18" max="18" width="11.421875" style="218" customWidth="1"/>
    <col min="19" max="16384" width="11.421875" style="218" customWidth="1"/>
  </cols>
  <sheetData>
    <row r="1" spans="1:2" ht="19.5" thickBot="1">
      <c r="A1" s="461" t="s">
        <v>243</v>
      </c>
      <c r="B1" s="464" t="s">
        <v>244</v>
      </c>
    </row>
    <row r="3" spans="1:6" ht="31.5" customHeight="1" thickBot="1">
      <c r="A3" s="215"/>
      <c r="B3" s="656" t="s">
        <v>262</v>
      </c>
      <c r="C3" s="656"/>
      <c r="D3" s="656"/>
      <c r="E3" s="656"/>
      <c r="F3" s="216"/>
    </row>
    <row r="4" spans="1:6" ht="15">
      <c r="A4" s="215"/>
      <c r="B4" s="657" t="s">
        <v>5</v>
      </c>
      <c r="C4" s="658"/>
      <c r="D4" s="661" t="s">
        <v>168</v>
      </c>
      <c r="E4" s="662"/>
      <c r="F4" s="219"/>
    </row>
    <row r="5" spans="1:16" ht="15">
      <c r="A5" s="215"/>
      <c r="B5" s="659"/>
      <c r="C5" s="660"/>
      <c r="D5" s="223" t="s">
        <v>170</v>
      </c>
      <c r="E5" s="224" t="s">
        <v>169</v>
      </c>
      <c r="F5" s="219"/>
      <c r="M5" s="669"/>
      <c r="N5" s="669"/>
      <c r="O5" s="669"/>
      <c r="P5" s="669"/>
    </row>
    <row r="6" spans="1:13" ht="13.5" thickBot="1">
      <c r="A6" s="215"/>
      <c r="B6" s="663"/>
      <c r="C6" s="664"/>
      <c r="D6" s="228" t="s">
        <v>150</v>
      </c>
      <c r="E6" s="229" t="s">
        <v>150</v>
      </c>
      <c r="F6" s="230"/>
      <c r="K6" s="226"/>
      <c r="L6" s="226"/>
      <c r="M6" s="226"/>
    </row>
    <row r="7" spans="1:13" ht="15">
      <c r="A7" s="215"/>
      <c r="B7" s="231" t="s">
        <v>1</v>
      </c>
      <c r="C7" s="232" t="s">
        <v>3</v>
      </c>
      <c r="D7" s="414">
        <f>($I$18*$I$22)/($I$19*$I$23)</f>
        <v>2.7484767429958037</v>
      </c>
      <c r="E7" s="415">
        <f>($I$28*$I$32)/($I$29*$I$33)</f>
        <v>3.700000000000001</v>
      </c>
      <c r="F7" s="233"/>
      <c r="K7" s="226"/>
      <c r="L7" s="226"/>
      <c r="M7" s="226"/>
    </row>
    <row r="8" spans="1:13" ht="15">
      <c r="A8" s="215"/>
      <c r="B8" s="235" t="s">
        <v>2</v>
      </c>
      <c r="C8" s="236" t="s">
        <v>4</v>
      </c>
      <c r="D8" s="416">
        <f>($I$38*$I$42)/($I$39*$I$43)</f>
        <v>2.7411217492988205</v>
      </c>
      <c r="E8" s="417">
        <f>($I$48*$I$52)/($I$49*$I$53)</f>
        <v>3.6900987058565486</v>
      </c>
      <c r="F8" s="233"/>
      <c r="K8" s="226"/>
      <c r="L8" s="226"/>
      <c r="M8" s="226"/>
    </row>
    <row r="9" spans="1:13" ht="15.75" thickBot="1">
      <c r="A9" s="215"/>
      <c r="B9" s="237" t="s">
        <v>0</v>
      </c>
      <c r="C9" s="238" t="s">
        <v>3</v>
      </c>
      <c r="D9" s="418">
        <f>($I$58*$I$62)/($I$59*$I$63)</f>
        <v>1.8879907099155735</v>
      </c>
      <c r="E9" s="419">
        <f>($I$68*$I$72)/($I$69*$I$73)</f>
        <v>2.5416135117350307</v>
      </c>
      <c r="F9" s="233"/>
      <c r="K9" s="226"/>
      <c r="L9" s="226"/>
      <c r="M9" s="226"/>
    </row>
    <row r="10" spans="1:13" ht="15">
      <c r="A10" s="215"/>
      <c r="B10" s="665" t="s">
        <v>6</v>
      </c>
      <c r="C10" s="665"/>
      <c r="D10" s="665"/>
      <c r="E10" s="665"/>
      <c r="F10" s="239"/>
      <c r="K10" s="226"/>
      <c r="L10" s="226"/>
      <c r="M10" s="226"/>
    </row>
    <row r="11" spans="1:13" ht="15">
      <c r="A11" s="215"/>
      <c r="B11" s="691" t="s">
        <v>166</v>
      </c>
      <c r="C11" s="691"/>
      <c r="D11" s="691"/>
      <c r="E11" s="691"/>
      <c r="F11" s="239"/>
      <c r="K11" s="226"/>
      <c r="L11" s="226"/>
      <c r="M11" s="226"/>
    </row>
    <row r="12" spans="1:13" ht="15">
      <c r="A12" s="215"/>
      <c r="B12" s="691" t="s">
        <v>7</v>
      </c>
      <c r="C12" s="691"/>
      <c r="D12" s="691"/>
      <c r="E12" s="691"/>
      <c r="F12" s="239"/>
      <c r="K12" s="226"/>
      <c r="L12" s="226"/>
      <c r="M12" s="226"/>
    </row>
    <row r="13" spans="1:13" ht="189.75" customHeight="1">
      <c r="A13" s="215"/>
      <c r="B13" s="692" t="s">
        <v>261</v>
      </c>
      <c r="C13" s="693"/>
      <c r="D13" s="693"/>
      <c r="E13" s="693"/>
      <c r="F13" s="694"/>
      <c r="H13" s="245"/>
      <c r="I13" s="226"/>
      <c r="J13" s="226"/>
      <c r="K13" s="226"/>
      <c r="L13" s="226"/>
      <c r="M13" s="226"/>
    </row>
    <row r="14" spans="1:13" ht="15.75" thickBot="1">
      <c r="A14" s="226"/>
      <c r="B14" s="470"/>
      <c r="C14" s="470"/>
      <c r="D14" s="470"/>
      <c r="E14" s="470"/>
      <c r="F14" s="470"/>
      <c r="H14" s="296" t="s">
        <v>223</v>
      </c>
      <c r="I14" s="226"/>
      <c r="J14" s="226"/>
      <c r="K14" s="226"/>
      <c r="L14" s="226"/>
      <c r="M14" s="226"/>
    </row>
    <row r="15" spans="2:14" ht="12.75" customHeight="1">
      <c r="B15" s="673" t="s">
        <v>228</v>
      </c>
      <c r="C15" s="674"/>
      <c r="D15" s="674"/>
      <c r="E15" s="674"/>
      <c r="F15" s="675"/>
      <c r="G15" s="246"/>
      <c r="H15" s="220" t="s">
        <v>178</v>
      </c>
      <c r="I15" s="221"/>
      <c r="J15" s="222"/>
      <c r="K15" s="244"/>
      <c r="L15" s="244"/>
      <c r="M15" s="244"/>
      <c r="N15" s="244"/>
    </row>
    <row r="16" spans="2:14" ht="12.75">
      <c r="B16" s="676"/>
      <c r="C16" s="677"/>
      <c r="D16" s="677"/>
      <c r="E16" s="677"/>
      <c r="F16" s="678"/>
      <c r="G16" s="246"/>
      <c r="H16" s="225"/>
      <c r="I16" s="226"/>
      <c r="J16" s="227"/>
      <c r="K16" s="244"/>
      <c r="L16" s="244"/>
      <c r="M16" s="244"/>
      <c r="N16" s="244"/>
    </row>
    <row r="17" spans="2:14" ht="12.75" customHeight="1">
      <c r="B17" s="676"/>
      <c r="C17" s="677"/>
      <c r="D17" s="677"/>
      <c r="E17" s="677"/>
      <c r="F17" s="678"/>
      <c r="G17" s="246"/>
      <c r="H17" s="670" t="s">
        <v>177</v>
      </c>
      <c r="I17" s="671"/>
      <c r="J17" s="672"/>
      <c r="K17" s="244"/>
      <c r="L17" s="244"/>
      <c r="M17" s="244"/>
      <c r="N17" s="244"/>
    </row>
    <row r="18" spans="2:14" ht="14.25">
      <c r="B18" s="676"/>
      <c r="C18" s="677"/>
      <c r="D18" s="677"/>
      <c r="E18" s="677"/>
      <c r="F18" s="678"/>
      <c r="G18" s="246"/>
      <c r="H18" s="234" t="s">
        <v>203</v>
      </c>
      <c r="I18" s="411">
        <f>'6-PCS et PCI'!E11</f>
        <v>36.471999999999994</v>
      </c>
      <c r="J18" s="227" t="s">
        <v>165</v>
      </c>
      <c r="K18" s="244"/>
      <c r="L18" s="244"/>
      <c r="M18" s="244"/>
      <c r="N18" s="244"/>
    </row>
    <row r="19" spans="2:14" ht="14.25">
      <c r="B19" s="676"/>
      <c r="C19" s="677"/>
      <c r="D19" s="677"/>
      <c r="E19" s="677"/>
      <c r="F19" s="678"/>
      <c r="G19" s="246"/>
      <c r="H19" s="234" t="s">
        <v>204</v>
      </c>
      <c r="I19" s="411">
        <f>'6-PCS et PCI'!D27</f>
        <v>15.541338199648003</v>
      </c>
      <c r="J19" s="227" t="s">
        <v>161</v>
      </c>
      <c r="K19" s="244"/>
      <c r="L19" s="244"/>
      <c r="M19" s="244"/>
      <c r="N19" s="244"/>
    </row>
    <row r="20" spans="2:14" ht="12.75">
      <c r="B20" s="676"/>
      <c r="C20" s="677"/>
      <c r="D20" s="677"/>
      <c r="E20" s="677"/>
      <c r="F20" s="678"/>
      <c r="G20" s="246"/>
      <c r="H20" s="225"/>
      <c r="I20" s="226"/>
      <c r="J20" s="227"/>
      <c r="K20" s="244"/>
      <c r="L20" s="244"/>
      <c r="M20" s="244"/>
      <c r="N20" s="244"/>
    </row>
    <row r="21" spans="2:14" ht="15">
      <c r="B21" s="676"/>
      <c r="C21" s="677"/>
      <c r="D21" s="677"/>
      <c r="E21" s="677"/>
      <c r="F21" s="678"/>
      <c r="G21" s="246"/>
      <c r="H21" s="240" t="s">
        <v>175</v>
      </c>
      <c r="I21" s="241"/>
      <c r="J21" s="227"/>
      <c r="K21" s="244"/>
      <c r="L21" s="244"/>
      <c r="M21" s="244"/>
      <c r="N21" s="244"/>
    </row>
    <row r="22" spans="2:14" ht="12.75">
      <c r="B22" s="676"/>
      <c r="C22" s="677"/>
      <c r="D22" s="677"/>
      <c r="E22" s="677"/>
      <c r="F22" s="678"/>
      <c r="G22" s="246"/>
      <c r="H22" s="234" t="s">
        <v>180</v>
      </c>
      <c r="I22" s="289">
        <v>0.75</v>
      </c>
      <c r="J22" s="227"/>
      <c r="K22" s="244"/>
      <c r="L22" s="244"/>
      <c r="M22" s="244"/>
      <c r="N22" s="244"/>
    </row>
    <row r="23" spans="2:14" ht="13.5" thickBot="1">
      <c r="B23" s="679"/>
      <c r="C23" s="680"/>
      <c r="D23" s="680"/>
      <c r="E23" s="680"/>
      <c r="F23" s="681"/>
      <c r="G23" s="246"/>
      <c r="H23" s="242" t="s">
        <v>176</v>
      </c>
      <c r="I23" s="290">
        <v>0.6403838411691071</v>
      </c>
      <c r="J23" s="243"/>
      <c r="K23" s="244"/>
      <c r="L23" s="244"/>
      <c r="M23" s="244"/>
      <c r="N23" s="244"/>
    </row>
    <row r="24" spans="2:14" ht="13.5" thickBot="1">
      <c r="B24" s="247"/>
      <c r="C24" s="247"/>
      <c r="D24" s="247"/>
      <c r="E24" s="247"/>
      <c r="G24" s="246"/>
      <c r="H24" s="245"/>
      <c r="I24" s="226"/>
      <c r="J24" s="226"/>
      <c r="K24" s="244"/>
      <c r="L24" s="244"/>
      <c r="M24" s="244"/>
      <c r="N24" s="244"/>
    </row>
    <row r="25" spans="2:14" ht="12.75" customHeight="1">
      <c r="B25" s="682" t="s">
        <v>219</v>
      </c>
      <c r="C25" s="683"/>
      <c r="D25" s="683"/>
      <c r="E25" s="683"/>
      <c r="F25" s="684"/>
      <c r="G25" s="246"/>
      <c r="H25" s="220" t="s">
        <v>179</v>
      </c>
      <c r="I25" s="221"/>
      <c r="J25" s="222"/>
      <c r="K25" s="244"/>
      <c r="L25" s="244"/>
      <c r="M25" s="244"/>
      <c r="N25" s="244"/>
    </row>
    <row r="26" spans="2:14" ht="12.75">
      <c r="B26" s="685"/>
      <c r="C26" s="686"/>
      <c r="D26" s="686"/>
      <c r="E26" s="686"/>
      <c r="F26" s="687"/>
      <c r="G26" s="246"/>
      <c r="H26" s="225"/>
      <c r="I26" s="226"/>
      <c r="J26" s="227"/>
      <c r="K26" s="244"/>
      <c r="L26" s="244"/>
      <c r="M26" s="244"/>
      <c r="N26" s="244"/>
    </row>
    <row r="27" spans="2:14" ht="12.75">
      <c r="B27" s="685"/>
      <c r="C27" s="686"/>
      <c r="D27" s="686"/>
      <c r="E27" s="686"/>
      <c r="F27" s="687"/>
      <c r="G27" s="246"/>
      <c r="H27" s="225" t="s">
        <v>177</v>
      </c>
      <c r="I27" s="226"/>
      <c r="J27" s="227"/>
      <c r="K27" s="244"/>
      <c r="L27" s="244"/>
      <c r="M27" s="244"/>
      <c r="N27" s="244"/>
    </row>
    <row r="28" spans="2:14" ht="14.25">
      <c r="B28" s="685"/>
      <c r="C28" s="686"/>
      <c r="D28" s="686"/>
      <c r="E28" s="686"/>
      <c r="F28" s="687"/>
      <c r="G28" s="246"/>
      <c r="H28" s="234" t="s">
        <v>203</v>
      </c>
      <c r="I28" s="411">
        <f>'6-PCS et PCI'!E11</f>
        <v>36.471999999999994</v>
      </c>
      <c r="J28" s="227" t="s">
        <v>165</v>
      </c>
      <c r="K28" s="244"/>
      <c r="L28" s="244"/>
      <c r="M28" s="244"/>
      <c r="N28" s="244"/>
    </row>
    <row r="29" spans="2:14" ht="14.25">
      <c r="B29" s="685"/>
      <c r="C29" s="686"/>
      <c r="D29" s="686"/>
      <c r="E29" s="686"/>
      <c r="F29" s="687"/>
      <c r="G29" s="246"/>
      <c r="H29" s="234" t="s">
        <v>205</v>
      </c>
      <c r="I29" s="411">
        <f>'6-PCS et PCI'!D31</f>
        <v>11.544596377504</v>
      </c>
      <c r="J29" s="227" t="s">
        <v>161</v>
      </c>
      <c r="K29" s="244"/>
      <c r="L29" s="244"/>
      <c r="M29" s="244"/>
      <c r="N29" s="244"/>
    </row>
    <row r="30" spans="2:14" ht="12.75">
      <c r="B30" s="685"/>
      <c r="C30" s="686"/>
      <c r="D30" s="686"/>
      <c r="E30" s="686"/>
      <c r="F30" s="687"/>
      <c r="G30" s="246"/>
      <c r="H30" s="225"/>
      <c r="I30" s="226"/>
      <c r="J30" s="227"/>
      <c r="K30" s="244"/>
      <c r="L30" s="244"/>
      <c r="M30" s="244"/>
      <c r="N30" s="244"/>
    </row>
    <row r="31" spans="2:14" ht="15">
      <c r="B31" s="685"/>
      <c r="C31" s="686"/>
      <c r="D31" s="686"/>
      <c r="E31" s="686"/>
      <c r="F31" s="687"/>
      <c r="G31" s="246"/>
      <c r="H31" s="240" t="s">
        <v>175</v>
      </c>
      <c r="I31" s="241"/>
      <c r="J31" s="227"/>
      <c r="K31" s="244"/>
      <c r="L31" s="244"/>
      <c r="M31" s="244"/>
      <c r="N31" s="244"/>
    </row>
    <row r="32" spans="2:14" ht="12.75">
      <c r="B32" s="685"/>
      <c r="C32" s="686"/>
      <c r="D32" s="686"/>
      <c r="E32" s="686"/>
      <c r="F32" s="687"/>
      <c r="G32" s="246"/>
      <c r="H32" s="234" t="s">
        <v>180</v>
      </c>
      <c r="I32" s="289">
        <v>0.75</v>
      </c>
      <c r="J32" s="227"/>
      <c r="K32" s="244"/>
      <c r="L32" s="244"/>
      <c r="M32" s="244"/>
      <c r="N32" s="244"/>
    </row>
    <row r="33" spans="2:14" ht="13.5" thickBot="1">
      <c r="B33" s="685"/>
      <c r="C33" s="686"/>
      <c r="D33" s="686"/>
      <c r="E33" s="686"/>
      <c r="F33" s="687"/>
      <c r="G33" s="246"/>
      <c r="H33" s="242" t="s">
        <v>176</v>
      </c>
      <c r="I33" s="290">
        <v>0.6403838411691071</v>
      </c>
      <c r="J33" s="243"/>
      <c r="K33" s="244"/>
      <c r="L33" s="244"/>
      <c r="M33" s="244"/>
      <c r="N33" s="244"/>
    </row>
    <row r="34" spans="2:14" ht="13.5" thickBot="1">
      <c r="B34" s="685"/>
      <c r="C34" s="686"/>
      <c r="D34" s="686"/>
      <c r="E34" s="686"/>
      <c r="F34" s="687"/>
      <c r="G34" s="246"/>
      <c r="H34" s="245"/>
      <c r="I34" s="249"/>
      <c r="J34" s="226"/>
      <c r="K34" s="244"/>
      <c r="L34" s="244"/>
      <c r="M34" s="244"/>
      <c r="N34" s="244"/>
    </row>
    <row r="35" spans="2:14" ht="12.75">
      <c r="B35" s="685"/>
      <c r="C35" s="686"/>
      <c r="D35" s="686"/>
      <c r="E35" s="686"/>
      <c r="F35" s="687"/>
      <c r="G35" s="246"/>
      <c r="H35" s="220" t="s">
        <v>185</v>
      </c>
      <c r="I35" s="221"/>
      <c r="J35" s="222"/>
      <c r="K35" s="244"/>
      <c r="L35" s="244"/>
      <c r="M35" s="244"/>
      <c r="N35" s="244"/>
    </row>
    <row r="36" spans="2:14" ht="12.75">
      <c r="B36" s="685"/>
      <c r="C36" s="686"/>
      <c r="D36" s="686"/>
      <c r="E36" s="686"/>
      <c r="F36" s="687"/>
      <c r="G36" s="246"/>
      <c r="H36" s="225"/>
      <c r="I36" s="226"/>
      <c r="J36" s="227"/>
      <c r="K36" s="244"/>
      <c r="L36" s="244"/>
      <c r="M36" s="244"/>
      <c r="N36" s="244"/>
    </row>
    <row r="37" spans="2:14" ht="12.75">
      <c r="B37" s="685"/>
      <c r="C37" s="686"/>
      <c r="D37" s="686"/>
      <c r="E37" s="686"/>
      <c r="F37" s="687"/>
      <c r="G37" s="246"/>
      <c r="H37" s="225" t="s">
        <v>177</v>
      </c>
      <c r="I37" s="226"/>
      <c r="J37" s="227"/>
      <c r="K37" s="244"/>
      <c r="L37" s="244"/>
      <c r="M37" s="244"/>
      <c r="N37" s="244"/>
    </row>
    <row r="38" spans="2:14" ht="14.25">
      <c r="B38" s="685"/>
      <c r="C38" s="686"/>
      <c r="D38" s="686"/>
      <c r="E38" s="686"/>
      <c r="F38" s="687"/>
      <c r="G38" s="246"/>
      <c r="H38" s="234" t="s">
        <v>206</v>
      </c>
      <c r="I38" s="411">
        <f>'6-PCS et PCI'!E10</f>
        <v>34.101</v>
      </c>
      <c r="J38" s="227" t="s">
        <v>165</v>
      </c>
      <c r="K38" s="244"/>
      <c r="L38" s="244"/>
      <c r="M38" s="244"/>
      <c r="N38" s="244"/>
    </row>
    <row r="39" spans="2:14" ht="14.25">
      <c r="B39" s="685"/>
      <c r="C39" s="686"/>
      <c r="D39" s="686"/>
      <c r="E39" s="686"/>
      <c r="F39" s="687"/>
      <c r="G39" s="246"/>
      <c r="H39" s="234" t="s">
        <v>204</v>
      </c>
      <c r="I39" s="411">
        <f>'6-PCS et PCI'!D27</f>
        <v>15.541338199648003</v>
      </c>
      <c r="J39" s="227" t="s">
        <v>161</v>
      </c>
      <c r="K39" s="244"/>
      <c r="L39" s="244"/>
      <c r="M39" s="244"/>
      <c r="N39" s="244"/>
    </row>
    <row r="40" spans="2:14" ht="12.75">
      <c r="B40" s="685"/>
      <c r="C40" s="686"/>
      <c r="D40" s="686"/>
      <c r="E40" s="686"/>
      <c r="F40" s="687"/>
      <c r="G40" s="246"/>
      <c r="H40" s="225"/>
      <c r="I40" s="226"/>
      <c r="J40" s="227"/>
      <c r="K40" s="244"/>
      <c r="L40" s="244"/>
      <c r="M40" s="244"/>
      <c r="N40" s="244"/>
    </row>
    <row r="41" spans="2:14" ht="15">
      <c r="B41" s="685"/>
      <c r="C41" s="686"/>
      <c r="D41" s="686"/>
      <c r="E41" s="686"/>
      <c r="F41" s="687"/>
      <c r="G41" s="246"/>
      <c r="H41" s="240" t="s">
        <v>175</v>
      </c>
      <c r="I41" s="241"/>
      <c r="J41" s="227"/>
      <c r="K41" s="244"/>
      <c r="L41" s="244"/>
      <c r="M41" s="244"/>
      <c r="N41" s="244"/>
    </row>
    <row r="42" spans="2:14" ht="12.75">
      <c r="B42" s="685"/>
      <c r="C42" s="686"/>
      <c r="D42" s="686"/>
      <c r="E42" s="686"/>
      <c r="F42" s="687"/>
      <c r="G42" s="246"/>
      <c r="H42" s="234" t="s">
        <v>181</v>
      </c>
      <c r="I42" s="289">
        <v>0.8</v>
      </c>
      <c r="J42" s="227"/>
      <c r="K42" s="244"/>
      <c r="L42" s="244"/>
      <c r="M42" s="244"/>
      <c r="N42" s="244"/>
    </row>
    <row r="43" spans="2:14" ht="13.5" thickBot="1">
      <c r="B43" s="685"/>
      <c r="C43" s="686"/>
      <c r="D43" s="686"/>
      <c r="E43" s="686"/>
      <c r="F43" s="687"/>
      <c r="G43" s="246"/>
      <c r="H43" s="242" t="s">
        <v>176</v>
      </c>
      <c r="I43" s="290">
        <v>0.6403838411691071</v>
      </c>
      <c r="J43" s="243"/>
      <c r="K43" s="244"/>
      <c r="L43" s="244"/>
      <c r="M43" s="244"/>
      <c r="N43" s="244"/>
    </row>
    <row r="44" spans="2:14" ht="13.5" thickBot="1">
      <c r="B44" s="685"/>
      <c r="C44" s="686"/>
      <c r="D44" s="686"/>
      <c r="E44" s="686"/>
      <c r="F44" s="687"/>
      <c r="G44" s="246"/>
      <c r="H44" s="245"/>
      <c r="I44" s="249"/>
      <c r="J44" s="226"/>
      <c r="K44" s="244"/>
      <c r="L44" s="244"/>
      <c r="M44" s="244"/>
      <c r="N44" s="244"/>
    </row>
    <row r="45" spans="2:14" ht="12.75">
      <c r="B45" s="685"/>
      <c r="C45" s="686"/>
      <c r="D45" s="686"/>
      <c r="E45" s="686"/>
      <c r="F45" s="687"/>
      <c r="G45" s="246"/>
      <c r="H45" s="220" t="s">
        <v>186</v>
      </c>
      <c r="I45" s="221"/>
      <c r="J45" s="222"/>
      <c r="K45" s="244"/>
      <c r="L45" s="244"/>
      <c r="M45" s="244"/>
      <c r="N45" s="244"/>
    </row>
    <row r="46" spans="2:10" ht="12.75">
      <c r="B46" s="685"/>
      <c r="C46" s="686"/>
      <c r="D46" s="686"/>
      <c r="E46" s="686"/>
      <c r="F46" s="687"/>
      <c r="H46" s="225"/>
      <c r="I46" s="226"/>
      <c r="J46" s="227"/>
    </row>
    <row r="47" spans="2:10" ht="12.75">
      <c r="B47" s="685"/>
      <c r="C47" s="686"/>
      <c r="D47" s="686"/>
      <c r="E47" s="686"/>
      <c r="F47" s="687"/>
      <c r="H47" s="225" t="s">
        <v>177</v>
      </c>
      <c r="I47" s="226"/>
      <c r="J47" s="227"/>
    </row>
    <row r="48" spans="2:10" ht="14.25">
      <c r="B48" s="685"/>
      <c r="C48" s="686"/>
      <c r="D48" s="686"/>
      <c r="E48" s="686"/>
      <c r="F48" s="687"/>
      <c r="H48" s="234" t="s">
        <v>206</v>
      </c>
      <c r="I48" s="411">
        <f>'6-PCS et PCI'!E10</f>
        <v>34.101</v>
      </c>
      <c r="J48" s="227" t="s">
        <v>165</v>
      </c>
    </row>
    <row r="49" spans="2:10" ht="14.25">
      <c r="B49" s="685"/>
      <c r="C49" s="686"/>
      <c r="D49" s="686"/>
      <c r="E49" s="686"/>
      <c r="F49" s="687"/>
      <c r="H49" s="234" t="s">
        <v>205</v>
      </c>
      <c r="I49" s="411">
        <f>'6-PCS et PCI'!D31</f>
        <v>11.544596377504</v>
      </c>
      <c r="J49" s="227" t="s">
        <v>161</v>
      </c>
    </row>
    <row r="50" spans="2:10" ht="12.75">
      <c r="B50" s="685"/>
      <c r="C50" s="686"/>
      <c r="D50" s="686"/>
      <c r="E50" s="686"/>
      <c r="F50" s="687"/>
      <c r="H50" s="225"/>
      <c r="I50" s="226"/>
      <c r="J50" s="227"/>
    </row>
    <row r="51" spans="2:10" ht="15">
      <c r="B51" s="685"/>
      <c r="C51" s="686"/>
      <c r="D51" s="686"/>
      <c r="E51" s="686"/>
      <c r="F51" s="687"/>
      <c r="H51" s="240" t="s">
        <v>175</v>
      </c>
      <c r="I51" s="241"/>
      <c r="J51" s="227"/>
    </row>
    <row r="52" spans="2:10" ht="12.75">
      <c r="B52" s="685"/>
      <c r="C52" s="686"/>
      <c r="D52" s="686"/>
      <c r="E52" s="686"/>
      <c r="F52" s="687"/>
      <c r="H52" s="234" t="s">
        <v>181</v>
      </c>
      <c r="I52" s="289">
        <v>0.8</v>
      </c>
      <c r="J52" s="227"/>
    </row>
    <row r="53" spans="2:10" ht="13.5" thickBot="1">
      <c r="B53" s="685"/>
      <c r="C53" s="686"/>
      <c r="D53" s="686"/>
      <c r="E53" s="686"/>
      <c r="F53" s="687"/>
      <c r="H53" s="242" t="s">
        <v>176</v>
      </c>
      <c r="I53" s="290">
        <v>0.6403838411691071</v>
      </c>
      <c r="J53" s="243"/>
    </row>
    <row r="54" spans="2:10" ht="15.75" thickBot="1">
      <c r="B54" s="685"/>
      <c r="C54" s="686"/>
      <c r="D54" s="686"/>
      <c r="E54" s="686"/>
      <c r="F54" s="687"/>
      <c r="H54" s="246"/>
      <c r="I54" s="250"/>
      <c r="J54" s="244"/>
    </row>
    <row r="55" spans="2:10" ht="12.75">
      <c r="B55" s="685"/>
      <c r="C55" s="686"/>
      <c r="D55" s="686"/>
      <c r="E55" s="686"/>
      <c r="F55" s="687"/>
      <c r="H55" s="220" t="s">
        <v>187</v>
      </c>
      <c r="I55" s="221"/>
      <c r="J55" s="222"/>
    </row>
    <row r="56" spans="2:10" ht="12.75">
      <c r="B56" s="685"/>
      <c r="C56" s="686"/>
      <c r="D56" s="686"/>
      <c r="E56" s="686"/>
      <c r="F56" s="687"/>
      <c r="H56" s="225"/>
      <c r="I56" s="226"/>
      <c r="J56" s="227"/>
    </row>
    <row r="57" spans="2:10" ht="12.75">
      <c r="B57" s="685"/>
      <c r="C57" s="686"/>
      <c r="D57" s="686"/>
      <c r="E57" s="686"/>
      <c r="F57" s="687"/>
      <c r="H57" s="225" t="s">
        <v>177</v>
      </c>
      <c r="I57" s="226"/>
      <c r="J57" s="227"/>
    </row>
    <row r="58" spans="2:10" ht="14.25">
      <c r="B58" s="685"/>
      <c r="C58" s="686"/>
      <c r="D58" s="686"/>
      <c r="E58" s="686"/>
      <c r="F58" s="687"/>
      <c r="H58" s="234" t="s">
        <v>217</v>
      </c>
      <c r="I58" s="411">
        <f>'6-PCS et PCI'!E13</f>
        <v>23.4876</v>
      </c>
      <c r="J58" s="227" t="s">
        <v>165</v>
      </c>
    </row>
    <row r="59" spans="2:10" ht="14.25">
      <c r="B59" s="685"/>
      <c r="C59" s="686"/>
      <c r="D59" s="686"/>
      <c r="E59" s="686"/>
      <c r="F59" s="687"/>
      <c r="H59" s="234" t="s">
        <v>204</v>
      </c>
      <c r="I59" s="411">
        <f>'6-PCS et PCI'!D27</f>
        <v>15.541338199648003</v>
      </c>
      <c r="J59" s="227" t="s">
        <v>161</v>
      </c>
    </row>
    <row r="60" spans="2:10" ht="12.75">
      <c r="B60" s="685"/>
      <c r="C60" s="686"/>
      <c r="D60" s="686"/>
      <c r="E60" s="686"/>
      <c r="F60" s="687"/>
      <c r="H60" s="225"/>
      <c r="I60" s="226"/>
      <c r="J60" s="227"/>
    </row>
    <row r="61" spans="2:10" ht="15">
      <c r="B61" s="685"/>
      <c r="C61" s="686"/>
      <c r="D61" s="686"/>
      <c r="E61" s="686"/>
      <c r="F61" s="687"/>
      <c r="H61" s="240" t="s">
        <v>175</v>
      </c>
      <c r="I61" s="241"/>
      <c r="J61" s="227"/>
    </row>
    <row r="62" spans="2:10" ht="12.75">
      <c r="B62" s="685"/>
      <c r="C62" s="686"/>
      <c r="D62" s="686"/>
      <c r="E62" s="686"/>
      <c r="F62" s="687"/>
      <c r="H62" s="234" t="s">
        <v>218</v>
      </c>
      <c r="I62" s="289">
        <v>0.8</v>
      </c>
      <c r="J62" s="227"/>
    </row>
    <row r="63" spans="2:10" ht="13.5" thickBot="1">
      <c r="B63" s="688"/>
      <c r="C63" s="689"/>
      <c r="D63" s="689"/>
      <c r="E63" s="689"/>
      <c r="F63" s="690"/>
      <c r="H63" s="242" t="s">
        <v>176</v>
      </c>
      <c r="I63" s="290">
        <v>0.6403838411691071</v>
      </c>
      <c r="J63" s="243"/>
    </row>
    <row r="64" spans="2:10" ht="13.5" thickBot="1">
      <c r="B64" s="456"/>
      <c r="C64" s="456"/>
      <c r="D64" s="456"/>
      <c r="E64" s="456"/>
      <c r="F64" s="456"/>
      <c r="H64" s="245"/>
      <c r="I64" s="249"/>
      <c r="J64" s="226"/>
    </row>
    <row r="65" spans="2:10" ht="12.75">
      <c r="B65" s="456"/>
      <c r="C65" s="456"/>
      <c r="D65" s="456"/>
      <c r="E65" s="456"/>
      <c r="F65" s="456"/>
      <c r="H65" s="220" t="s">
        <v>188</v>
      </c>
      <c r="I65" s="221"/>
      <c r="J65" s="222"/>
    </row>
    <row r="66" spans="2:10" ht="12.75">
      <c r="B66" s="456"/>
      <c r="C66" s="456"/>
      <c r="D66" s="456"/>
      <c r="E66" s="456"/>
      <c r="F66" s="456"/>
      <c r="H66" s="225"/>
      <c r="I66" s="226"/>
      <c r="J66" s="227"/>
    </row>
    <row r="67" spans="2:10" ht="12.75">
      <c r="B67" s="456"/>
      <c r="C67" s="456"/>
      <c r="D67" s="456"/>
      <c r="E67" s="456"/>
      <c r="F67" s="456"/>
      <c r="H67" s="225" t="s">
        <v>177</v>
      </c>
      <c r="I67" s="226"/>
      <c r="J67" s="227"/>
    </row>
    <row r="68" spans="2:10" ht="14.25">
      <c r="B68" s="456"/>
      <c r="C68" s="456"/>
      <c r="D68" s="456"/>
      <c r="E68" s="456"/>
      <c r="F68" s="456"/>
      <c r="H68" s="234" t="s">
        <v>217</v>
      </c>
      <c r="I68" s="411">
        <f>'6-PCS et PCI'!E13</f>
        <v>23.4876</v>
      </c>
      <c r="J68" s="227" t="s">
        <v>165</v>
      </c>
    </row>
    <row r="69" spans="2:10" ht="14.25">
      <c r="B69" s="456"/>
      <c r="C69" s="456"/>
      <c r="D69" s="456"/>
      <c r="E69" s="456"/>
      <c r="F69" s="456"/>
      <c r="H69" s="234" t="s">
        <v>205</v>
      </c>
      <c r="I69" s="411">
        <f>'6-PCS et PCI'!D31</f>
        <v>11.544596377504</v>
      </c>
      <c r="J69" s="227" t="s">
        <v>161</v>
      </c>
    </row>
    <row r="70" spans="2:10" ht="12.75">
      <c r="B70" s="456"/>
      <c r="C70" s="456"/>
      <c r="D70" s="456"/>
      <c r="E70" s="456"/>
      <c r="F70" s="456"/>
      <c r="H70" s="225"/>
      <c r="I70" s="287"/>
      <c r="J70" s="227"/>
    </row>
    <row r="71" spans="2:10" ht="15">
      <c r="B71" s="456"/>
      <c r="C71" s="456"/>
      <c r="D71" s="456"/>
      <c r="E71" s="456"/>
      <c r="F71" s="456"/>
      <c r="H71" s="240" t="s">
        <v>175</v>
      </c>
      <c r="I71" s="241"/>
      <c r="J71" s="227"/>
    </row>
    <row r="72" spans="2:10" ht="12.75">
      <c r="B72" s="456"/>
      <c r="C72" s="456"/>
      <c r="D72" s="456"/>
      <c r="E72" s="456"/>
      <c r="F72" s="456"/>
      <c r="H72" s="234" t="s">
        <v>218</v>
      </c>
      <c r="I72" s="289">
        <v>0.8</v>
      </c>
      <c r="J72" s="227"/>
    </row>
    <row r="73" spans="2:10" ht="13.5" thickBot="1">
      <c r="B73" s="456"/>
      <c r="C73" s="456"/>
      <c r="D73" s="456"/>
      <c r="E73" s="456"/>
      <c r="F73" s="456"/>
      <c r="H73" s="242" t="s">
        <v>176</v>
      </c>
      <c r="I73" s="290">
        <v>0.6403838411691071</v>
      </c>
      <c r="J73" s="243"/>
    </row>
    <row r="74" spans="2:10" ht="12.75">
      <c r="B74" s="456"/>
      <c r="C74" s="456"/>
      <c r="D74" s="456"/>
      <c r="E74" s="456"/>
      <c r="F74" s="456"/>
      <c r="H74" s="246"/>
      <c r="I74" s="457"/>
      <c r="J74" s="226"/>
    </row>
    <row r="75" spans="2:10" ht="12.75">
      <c r="B75" s="456"/>
      <c r="C75" s="456"/>
      <c r="D75" s="456"/>
      <c r="E75" s="456"/>
      <c r="F75" s="456"/>
      <c r="H75" s="246"/>
      <c r="I75" s="457"/>
      <c r="J75" s="226"/>
    </row>
    <row r="76" spans="2:10" ht="12.75">
      <c r="B76" s="456"/>
      <c r="C76" s="456"/>
      <c r="D76" s="456"/>
      <c r="E76" s="456"/>
      <c r="F76" s="456"/>
      <c r="H76" s="246"/>
      <c r="I76" s="457"/>
      <c r="J76" s="226"/>
    </row>
    <row r="77" spans="2:10" ht="12.75">
      <c r="B77" s="456"/>
      <c r="C77" s="456"/>
      <c r="D77" s="456"/>
      <c r="E77" s="456"/>
      <c r="F77" s="456"/>
      <c r="H77" s="246"/>
      <c r="I77" s="457"/>
      <c r="J77" s="226"/>
    </row>
    <row r="78" spans="2:10" ht="12.75">
      <c r="B78" s="456"/>
      <c r="C78" s="456"/>
      <c r="D78" s="456"/>
      <c r="E78" s="456"/>
      <c r="F78" s="456"/>
      <c r="H78" s="246"/>
      <c r="I78" s="457"/>
      <c r="J78" s="226"/>
    </row>
    <row r="79" spans="2:10" ht="12.75">
      <c r="B79" s="456"/>
      <c r="C79" s="456"/>
      <c r="D79" s="456"/>
      <c r="E79" s="456"/>
      <c r="F79" s="456"/>
      <c r="H79" s="246"/>
      <c r="I79" s="457"/>
      <c r="J79" s="226"/>
    </row>
    <row r="80" spans="2:10" ht="12.75">
      <c r="B80" s="456"/>
      <c r="C80" s="456"/>
      <c r="D80" s="456"/>
      <c r="E80" s="456"/>
      <c r="F80" s="456"/>
      <c r="H80" s="246"/>
      <c r="I80" s="457"/>
      <c r="J80" s="226"/>
    </row>
    <row r="81" spans="2:10" ht="12.75">
      <c r="B81" s="456"/>
      <c r="C81" s="456"/>
      <c r="D81" s="456"/>
      <c r="E81" s="456"/>
      <c r="F81" s="456"/>
      <c r="H81" s="246"/>
      <c r="I81" s="457"/>
      <c r="J81" s="226"/>
    </row>
    <row r="82" spans="2:10" ht="12.75">
      <c r="B82" s="456"/>
      <c r="C82" s="456"/>
      <c r="D82" s="456"/>
      <c r="E82" s="456"/>
      <c r="F82" s="456"/>
      <c r="H82" s="246"/>
      <c r="I82" s="457"/>
      <c r="J82" s="226"/>
    </row>
    <row r="83" spans="2:10" ht="12.75">
      <c r="B83" s="456"/>
      <c r="C83" s="456"/>
      <c r="D83" s="456"/>
      <c r="E83" s="456"/>
      <c r="F83" s="456"/>
      <c r="H83" s="246"/>
      <c r="I83" s="457"/>
      <c r="J83" s="226"/>
    </row>
    <row r="84" spans="2:10" ht="12.75">
      <c r="B84" s="591"/>
      <c r="C84" s="591"/>
      <c r="D84" s="591"/>
      <c r="E84" s="591"/>
      <c r="F84" s="591"/>
      <c r="H84" s="246"/>
      <c r="I84" s="457"/>
      <c r="J84" s="226"/>
    </row>
    <row r="85" spans="2:10" ht="12.75">
      <c r="B85" s="591"/>
      <c r="C85" s="591"/>
      <c r="D85" s="591"/>
      <c r="E85" s="591"/>
      <c r="F85" s="591"/>
      <c r="H85" s="246"/>
      <c r="I85" s="457"/>
      <c r="J85" s="226"/>
    </row>
    <row r="86" spans="2:10" ht="12.75">
      <c r="B86" s="591"/>
      <c r="C86" s="591"/>
      <c r="D86" s="591"/>
      <c r="E86" s="591"/>
      <c r="F86" s="591"/>
      <c r="H86" s="246"/>
      <c r="I86" s="457"/>
      <c r="J86" s="226"/>
    </row>
    <row r="87" spans="2:12" ht="32.25" customHeight="1">
      <c r="B87" s="666" t="s">
        <v>221</v>
      </c>
      <c r="C87" s="666"/>
      <c r="D87" s="666"/>
      <c r="E87" s="666"/>
      <c r="F87" s="666"/>
      <c r="G87" s="666"/>
      <c r="H87" s="666"/>
      <c r="I87" s="666"/>
      <c r="J87" s="666"/>
      <c r="K87" s="666"/>
      <c r="L87" s="666"/>
    </row>
    <row r="88" spans="2:10" ht="12.75">
      <c r="B88" s="456"/>
      <c r="C88" s="456"/>
      <c r="D88" s="456"/>
      <c r="E88" s="456"/>
      <c r="F88" s="456"/>
      <c r="H88" s="246"/>
      <c r="I88" s="457"/>
      <c r="J88" s="226"/>
    </row>
    <row r="89" spans="2:12" ht="21.75" thickBot="1">
      <c r="B89" s="667" t="s">
        <v>324</v>
      </c>
      <c r="C89" s="667"/>
      <c r="D89" s="667"/>
      <c r="E89" s="667"/>
      <c r="G89" s="668" t="s">
        <v>325</v>
      </c>
      <c r="H89" s="668"/>
      <c r="I89" s="668"/>
      <c r="J89" s="668"/>
      <c r="K89" s="668"/>
      <c r="L89" s="668"/>
    </row>
    <row r="90" spans="2:12" ht="31.5" customHeight="1">
      <c r="B90" s="650" t="str">
        <f>CONCATENATE("Pour 1 ",VLOOKUP(I91,M93:N102,2,FALSE)," (",VLOOKUP(I91,M93:N102,1,FALSE)," - ancien système), il faudra... ")</f>
        <v>Pour 1 L (Mazout léger no. 2 - ancien système), il faudra... </v>
      </c>
      <c r="C90" s="651"/>
      <c r="D90" s="651"/>
      <c r="E90" s="652"/>
      <c r="F90" s="251" t="s">
        <v>212</v>
      </c>
      <c r="G90" s="595"/>
      <c r="H90" s="596"/>
      <c r="I90" s="597"/>
      <c r="J90" s="598"/>
      <c r="K90" s="595"/>
      <c r="L90" s="595"/>
    </row>
    <row r="91" spans="2:10" ht="16.5" thickBot="1">
      <c r="B91" s="653" t="str">
        <f>CONCATENATE(TEXT((I93*I94)/(I98*I99),"0,000")," ",VLOOKUP(I96,M93:N102,2,FALSE)," (",VLOOKUP(I96,M93:N102,1,FALSE)," - nouveau système)")</f>
        <v>2,748 kg (Biomasse #A - nouveau système)</v>
      </c>
      <c r="C91" s="654"/>
      <c r="D91" s="654"/>
      <c r="E91" s="655"/>
      <c r="H91" s="253" t="s">
        <v>190</v>
      </c>
      <c r="I91" s="291" t="s">
        <v>146</v>
      </c>
      <c r="J91" s="227"/>
    </row>
    <row r="92" spans="8:20" ht="12.75">
      <c r="H92" s="234" t="s">
        <v>192</v>
      </c>
      <c r="I92" s="291" t="s">
        <v>194</v>
      </c>
      <c r="J92" s="227"/>
      <c r="M92" s="254" t="s">
        <v>42</v>
      </c>
      <c r="N92" s="255" t="s">
        <v>46</v>
      </c>
      <c r="O92" s="256" t="s">
        <v>142</v>
      </c>
      <c r="P92" s="256" t="s">
        <v>143</v>
      </c>
      <c r="Q92" s="255" t="s">
        <v>182</v>
      </c>
      <c r="T92" s="288"/>
    </row>
    <row r="93" spans="8:17" ht="15">
      <c r="H93" s="234" t="s">
        <v>195</v>
      </c>
      <c r="I93" s="259">
        <f>IF(I92="NON",VLOOKUP(I91,M93:P102,4,FALSE),VLOOKUP(I91,M93:P102,3,FALSE))</f>
        <v>36.471999999999994</v>
      </c>
      <c r="J93" s="227" t="str">
        <f>CONCATENATE("MJ/",VLOOKUP(I91,M93:N102,2,FALSE))</f>
        <v>MJ/L</v>
      </c>
      <c r="M93" s="257" t="s">
        <v>34</v>
      </c>
      <c r="N93" s="218" t="s">
        <v>40</v>
      </c>
      <c r="O93" s="258">
        <v>3.6</v>
      </c>
      <c r="P93" s="258">
        <v>3.6</v>
      </c>
      <c r="Q93" s="218" t="s">
        <v>193</v>
      </c>
    </row>
    <row r="94" spans="8:17" ht="15">
      <c r="H94" s="234" t="s">
        <v>196</v>
      </c>
      <c r="I94" s="292">
        <v>75</v>
      </c>
      <c r="J94" s="227" t="s">
        <v>85</v>
      </c>
      <c r="M94" s="257" t="s">
        <v>2</v>
      </c>
      <c r="N94" s="218" t="s">
        <v>145</v>
      </c>
      <c r="O94" s="258">
        <v>37.89</v>
      </c>
      <c r="P94" s="258">
        <v>34.101</v>
      </c>
      <c r="Q94" s="218" t="s">
        <v>194</v>
      </c>
    </row>
    <row r="95" spans="8:16" ht="15">
      <c r="H95" s="225"/>
      <c r="I95" s="226"/>
      <c r="J95" s="227"/>
      <c r="M95" s="257" t="s">
        <v>146</v>
      </c>
      <c r="N95" s="218" t="s">
        <v>147</v>
      </c>
      <c r="O95" s="258">
        <v>38.8</v>
      </c>
      <c r="P95" s="258">
        <v>36.471999999999994</v>
      </c>
    </row>
    <row r="96" spans="8:16" ht="15.75">
      <c r="H96" s="253" t="s">
        <v>191</v>
      </c>
      <c r="I96" s="291" t="s">
        <v>208</v>
      </c>
      <c r="J96" s="227"/>
      <c r="M96" s="257" t="s">
        <v>148</v>
      </c>
      <c r="N96" s="218" t="s">
        <v>147</v>
      </c>
      <c r="O96" s="258">
        <v>42.5</v>
      </c>
      <c r="P96" s="258">
        <v>40.375</v>
      </c>
    </row>
    <row r="97" spans="7:16" ht="15">
      <c r="G97" s="218"/>
      <c r="H97" s="234" t="s">
        <v>192</v>
      </c>
      <c r="I97" s="291" t="s">
        <v>194</v>
      </c>
      <c r="J97" s="227"/>
      <c r="M97" s="257" t="s">
        <v>149</v>
      </c>
      <c r="N97" s="218" t="s">
        <v>147</v>
      </c>
      <c r="O97" s="258">
        <v>25.53</v>
      </c>
      <c r="P97" s="258">
        <v>23.4876</v>
      </c>
    </row>
    <row r="98" spans="7:16" ht="12.75">
      <c r="G98" s="218"/>
      <c r="H98" s="234" t="s">
        <v>195</v>
      </c>
      <c r="I98" s="259">
        <f>IF(I97="NON",VLOOKUP(I96,M93:P102,4,FALSE),VLOOKUP(I96,M93:P102,3,FALSE))</f>
        <v>15.541338199648003</v>
      </c>
      <c r="J98" s="227" t="str">
        <f>CONCATENATE("MJ/",VLOOKUP(I96,M93:N102,2,FALSE))</f>
        <v>MJ/kg</v>
      </c>
      <c r="M98" s="218" t="s">
        <v>189</v>
      </c>
      <c r="N98" s="218" t="s">
        <v>147</v>
      </c>
      <c r="O98" s="258">
        <v>38.8</v>
      </c>
      <c r="P98" s="258">
        <v>36.471999999999994</v>
      </c>
    </row>
    <row r="99" spans="7:16" ht="13.5" thickBot="1">
      <c r="G99" s="218"/>
      <c r="H99" s="242" t="s">
        <v>196</v>
      </c>
      <c r="I99" s="293">
        <v>64.03838411691069</v>
      </c>
      <c r="J99" s="243" t="s">
        <v>85</v>
      </c>
      <c r="M99" s="218" t="s">
        <v>208</v>
      </c>
      <c r="N99" s="218" t="s">
        <v>150</v>
      </c>
      <c r="O99" s="258">
        <f>IF(I122=0,I121,P99/0.935)</f>
        <v>16.62175208518503</v>
      </c>
      <c r="P99" s="258">
        <f>IF(I122=0,I121-I121*0.065,I121*(1-I122/100)-2.444*I122/100-2.444*I123/100*8.936*(1-I122/100))</f>
        <v>15.541338199648003</v>
      </c>
    </row>
    <row r="100" spans="7:16" ht="13.5" thickBot="1">
      <c r="G100" s="218"/>
      <c r="M100" s="218" t="s">
        <v>209</v>
      </c>
      <c r="N100" s="218" t="s">
        <v>150</v>
      </c>
      <c r="O100" s="258">
        <f>IF(I129=0,I128,P100/0.935)</f>
        <v>16.62175208518503</v>
      </c>
      <c r="P100" s="258">
        <f>IF(I129=0,I128-I128*0.065,I128*(1-I129/100)-2.444*I129/100-2.444*I130/100*8.936*(1-I129/100))</f>
        <v>15.541338199648003</v>
      </c>
    </row>
    <row r="101" spans="7:16" ht="12.75">
      <c r="G101" s="252"/>
      <c r="H101" s="221"/>
      <c r="I101" s="221"/>
      <c r="J101" s="221"/>
      <c r="K101" s="221"/>
      <c r="L101" s="222"/>
      <c r="M101" s="218" t="s">
        <v>210</v>
      </c>
      <c r="N101" s="218" t="str">
        <f>K107</f>
        <v>kg</v>
      </c>
      <c r="O101" s="258">
        <f>H107</f>
        <v>18.69</v>
      </c>
      <c r="P101" s="260">
        <f>J107</f>
        <v>17.475150000000003</v>
      </c>
    </row>
    <row r="102" spans="7:16" ht="15.75">
      <c r="G102" s="225"/>
      <c r="H102" s="468" t="s">
        <v>197</v>
      </c>
      <c r="I102" s="468"/>
      <c r="J102" s="468"/>
      <c r="K102" s="468"/>
      <c r="L102" s="261"/>
      <c r="M102" s="218" t="s">
        <v>211</v>
      </c>
      <c r="N102" s="218" t="str">
        <f>K112</f>
        <v>kg</v>
      </c>
      <c r="O102" s="258">
        <f>H112</f>
        <v>18.69</v>
      </c>
      <c r="P102" s="260">
        <f>J112</f>
        <v>17.475150000000003</v>
      </c>
    </row>
    <row r="103" spans="7:12" ht="12.75">
      <c r="G103" s="225"/>
      <c r="H103" s="226"/>
      <c r="I103" s="226"/>
      <c r="J103" s="226"/>
      <c r="K103" s="226"/>
      <c r="L103" s="227"/>
    </row>
    <row r="104" spans="7:12" ht="12.75">
      <c r="G104" s="225"/>
      <c r="H104" s="254" t="s">
        <v>210</v>
      </c>
      <c r="I104" s="226"/>
      <c r="J104" s="226"/>
      <c r="K104" s="226"/>
      <c r="L104" s="227"/>
    </row>
    <row r="105" spans="7:12" ht="12.75">
      <c r="G105" s="225"/>
      <c r="H105" s="262" t="s">
        <v>142</v>
      </c>
      <c r="I105" s="262" t="s">
        <v>199</v>
      </c>
      <c r="J105" s="262" t="s">
        <v>143</v>
      </c>
      <c r="K105" s="263" t="s">
        <v>46</v>
      </c>
      <c r="L105" s="264"/>
    </row>
    <row r="106" spans="7:14" ht="12.75">
      <c r="G106" s="225"/>
      <c r="H106" s="262" t="s">
        <v>144</v>
      </c>
      <c r="I106" s="262" t="s">
        <v>200</v>
      </c>
      <c r="J106" s="262" t="s">
        <v>144</v>
      </c>
      <c r="K106" s="265"/>
      <c r="L106" s="264"/>
      <c r="N106" s="255" t="s">
        <v>46</v>
      </c>
    </row>
    <row r="107" spans="7:14" ht="12.75">
      <c r="G107" s="234"/>
      <c r="H107" s="294">
        <v>18.69</v>
      </c>
      <c r="I107" s="295">
        <v>0.065</v>
      </c>
      <c r="J107" s="266">
        <f>H107*(1-I107)</f>
        <v>17.475150000000003</v>
      </c>
      <c r="K107" s="294" t="s">
        <v>150</v>
      </c>
      <c r="L107" s="267"/>
      <c r="N107" s="218" t="s">
        <v>147</v>
      </c>
    </row>
    <row r="108" spans="7:14" ht="12.75">
      <c r="G108" s="234"/>
      <c r="H108" s="226"/>
      <c r="I108" s="226"/>
      <c r="J108" s="226"/>
      <c r="K108" s="226"/>
      <c r="L108" s="268"/>
      <c r="N108" s="218" t="s">
        <v>150</v>
      </c>
    </row>
    <row r="109" spans="7:14" ht="12.75">
      <c r="G109" s="234"/>
      <c r="H109" s="254" t="s">
        <v>211</v>
      </c>
      <c r="I109" s="226"/>
      <c r="J109" s="226"/>
      <c r="K109" s="226"/>
      <c r="L109" s="268"/>
      <c r="N109" s="218" t="s">
        <v>145</v>
      </c>
    </row>
    <row r="110" spans="7:14" ht="12.75">
      <c r="G110" s="234"/>
      <c r="H110" s="262" t="s">
        <v>142</v>
      </c>
      <c r="I110" s="262" t="s">
        <v>199</v>
      </c>
      <c r="J110" s="262" t="s">
        <v>143</v>
      </c>
      <c r="K110" s="263" t="s">
        <v>46</v>
      </c>
      <c r="L110" s="264"/>
      <c r="N110" s="218" t="s">
        <v>198</v>
      </c>
    </row>
    <row r="111" spans="7:12" ht="12.75">
      <c r="G111" s="234"/>
      <c r="H111" s="262" t="s">
        <v>144</v>
      </c>
      <c r="I111" s="262" t="s">
        <v>200</v>
      </c>
      <c r="J111" s="262" t="s">
        <v>144</v>
      </c>
      <c r="K111" s="265"/>
      <c r="L111" s="264"/>
    </row>
    <row r="112" spans="7:12" ht="12.75">
      <c r="G112" s="234"/>
      <c r="H112" s="294">
        <v>18.69</v>
      </c>
      <c r="I112" s="295">
        <v>0.065</v>
      </c>
      <c r="J112" s="266">
        <f>H112*(1-I112)</f>
        <v>17.475150000000003</v>
      </c>
      <c r="K112" s="294" t="s">
        <v>150</v>
      </c>
      <c r="L112" s="267"/>
    </row>
    <row r="113" spans="7:12" ht="12.75">
      <c r="G113" s="234"/>
      <c r="H113" s="226"/>
      <c r="I113" s="226"/>
      <c r="J113" s="226"/>
      <c r="K113" s="226"/>
      <c r="L113" s="268"/>
    </row>
    <row r="114" spans="7:12" ht="12.75">
      <c r="G114" s="234"/>
      <c r="H114" s="226" t="s">
        <v>201</v>
      </c>
      <c r="I114" s="226"/>
      <c r="J114" s="226"/>
      <c r="K114" s="226"/>
      <c r="L114" s="227"/>
    </row>
    <row r="115" spans="7:12" ht="13.5" thickBot="1">
      <c r="G115" s="242"/>
      <c r="H115" s="269"/>
      <c r="I115" s="269"/>
      <c r="J115" s="269"/>
      <c r="K115" s="269"/>
      <c r="L115" s="243"/>
    </row>
    <row r="116" spans="7:12" ht="13.5" thickBot="1">
      <c r="G116" s="245"/>
      <c r="H116" s="226"/>
      <c r="I116" s="226"/>
      <c r="J116" s="226"/>
      <c r="K116" s="226"/>
      <c r="L116" s="226"/>
    </row>
    <row r="117" spans="7:12" ht="12.75">
      <c r="G117" s="270"/>
      <c r="H117" s="221"/>
      <c r="I117" s="221"/>
      <c r="J117" s="221"/>
      <c r="K117" s="221"/>
      <c r="L117" s="222"/>
    </row>
    <row r="118" spans="7:12" ht="15.75">
      <c r="G118" s="234"/>
      <c r="H118" s="468" t="s">
        <v>202</v>
      </c>
      <c r="I118" s="468"/>
      <c r="J118" s="468"/>
      <c r="K118" s="468"/>
      <c r="L118" s="227"/>
    </row>
    <row r="119" spans="7:12" ht="12.75">
      <c r="G119" s="234"/>
      <c r="H119" s="226"/>
      <c r="I119" s="226"/>
      <c r="J119" s="226"/>
      <c r="K119" s="226"/>
      <c r="L119" s="227"/>
    </row>
    <row r="120" spans="7:12" ht="12.75">
      <c r="G120" s="234"/>
      <c r="H120" s="271" t="s">
        <v>208</v>
      </c>
      <c r="I120" s="272"/>
      <c r="J120" s="272"/>
      <c r="K120" s="273"/>
      <c r="L120" s="227"/>
    </row>
    <row r="121" spans="7:12" ht="14.25">
      <c r="G121" s="234"/>
      <c r="H121" s="274" t="s">
        <v>158</v>
      </c>
      <c r="I121" s="458">
        <v>18.69</v>
      </c>
      <c r="J121" s="275" t="s">
        <v>161</v>
      </c>
      <c r="K121" s="276"/>
      <c r="L121" s="227"/>
    </row>
    <row r="122" spans="7:12" ht="12.75">
      <c r="G122" s="234"/>
      <c r="H122" s="274" t="s">
        <v>220</v>
      </c>
      <c r="I122" s="459">
        <v>10</v>
      </c>
      <c r="J122" s="277" t="s">
        <v>85</v>
      </c>
      <c r="K122" s="276"/>
      <c r="L122" s="227"/>
    </row>
    <row r="123" spans="7:12" ht="12.75">
      <c r="G123" s="234"/>
      <c r="H123" s="274" t="s">
        <v>159</v>
      </c>
      <c r="I123" s="460">
        <v>5.267</v>
      </c>
      <c r="J123" s="275" t="s">
        <v>85</v>
      </c>
      <c r="K123" s="276"/>
      <c r="L123" s="227"/>
    </row>
    <row r="124" spans="7:12" ht="12.75">
      <c r="G124" s="234"/>
      <c r="H124" s="278" t="s">
        <v>207</v>
      </c>
      <c r="I124" s="279"/>
      <c r="J124" s="280"/>
      <c r="K124" s="281"/>
      <c r="L124" s="227"/>
    </row>
    <row r="125" spans="7:12" ht="12.75">
      <c r="G125" s="234"/>
      <c r="H125" s="282"/>
      <c r="I125" s="283"/>
      <c r="J125" s="283"/>
      <c r="K125" s="284"/>
      <c r="L125" s="227"/>
    </row>
    <row r="126" spans="7:12" ht="12.75">
      <c r="G126" s="234"/>
      <c r="H126" s="226"/>
      <c r="I126" s="226"/>
      <c r="J126" s="226"/>
      <c r="K126" s="226"/>
      <c r="L126" s="227"/>
    </row>
    <row r="127" spans="7:12" ht="12.75">
      <c r="G127" s="234"/>
      <c r="H127" s="271" t="s">
        <v>209</v>
      </c>
      <c r="I127" s="272"/>
      <c r="J127" s="272"/>
      <c r="K127" s="273"/>
      <c r="L127" s="227"/>
    </row>
    <row r="128" spans="7:12" ht="14.25">
      <c r="G128" s="234"/>
      <c r="H128" s="274" t="s">
        <v>158</v>
      </c>
      <c r="I128" s="458">
        <v>18.69</v>
      </c>
      <c r="J128" s="275" t="s">
        <v>161</v>
      </c>
      <c r="K128" s="276"/>
      <c r="L128" s="227"/>
    </row>
    <row r="129" spans="7:12" ht="12.75">
      <c r="G129" s="234"/>
      <c r="H129" s="274" t="s">
        <v>220</v>
      </c>
      <c r="I129" s="458">
        <v>10</v>
      </c>
      <c r="J129" s="275" t="s">
        <v>85</v>
      </c>
      <c r="K129" s="276"/>
      <c r="L129" s="227"/>
    </row>
    <row r="130" spans="7:12" ht="12.75">
      <c r="G130" s="234"/>
      <c r="H130" s="274" t="s">
        <v>159</v>
      </c>
      <c r="I130" s="460">
        <v>5.267</v>
      </c>
      <c r="J130" s="275" t="s">
        <v>85</v>
      </c>
      <c r="K130" s="276"/>
      <c r="L130" s="227"/>
    </row>
    <row r="131" spans="7:12" ht="12.75">
      <c r="G131" s="234"/>
      <c r="H131" s="278" t="s">
        <v>207</v>
      </c>
      <c r="I131" s="279"/>
      <c r="J131" s="280"/>
      <c r="K131" s="281"/>
      <c r="L131" s="227"/>
    </row>
    <row r="132" spans="7:12" ht="12.75">
      <c r="G132" s="234"/>
      <c r="H132" s="285"/>
      <c r="I132" s="286"/>
      <c r="J132" s="275"/>
      <c r="K132" s="284"/>
      <c r="L132" s="227"/>
    </row>
    <row r="133" spans="7:12" ht="13.5" thickBot="1">
      <c r="G133" s="242"/>
      <c r="H133" s="269"/>
      <c r="I133" s="269"/>
      <c r="J133" s="269"/>
      <c r="K133" s="269"/>
      <c r="L133" s="243"/>
    </row>
  </sheetData>
  <sheetProtection sheet="1" objects="1" scenarios="1"/>
  <mergeCells count="17">
    <mergeCell ref="M5:P5"/>
    <mergeCell ref="H17:J17"/>
    <mergeCell ref="B15:F23"/>
    <mergeCell ref="B25:F63"/>
    <mergeCell ref="B11:E11"/>
    <mergeCell ref="B12:E12"/>
    <mergeCell ref="B13:F13"/>
    <mergeCell ref="B90:E90"/>
    <mergeCell ref="B91:E91"/>
    <mergeCell ref="B3:E3"/>
    <mergeCell ref="B4:C5"/>
    <mergeCell ref="D4:E4"/>
    <mergeCell ref="B6:C6"/>
    <mergeCell ref="B10:E10"/>
    <mergeCell ref="B87:L87"/>
    <mergeCell ref="B89:E89"/>
    <mergeCell ref="G89:L89"/>
  </mergeCells>
  <dataValidations count="3">
    <dataValidation type="list" allowBlank="1" showInputMessage="1" showErrorMessage="1" sqref="I97 I92">
      <formula1>$Q$93:$Q$94</formula1>
    </dataValidation>
    <dataValidation type="list" allowBlank="1" showInputMessage="1" showErrorMessage="1" sqref="I96 I91">
      <formula1>$M$93:$M$102</formula1>
    </dataValidation>
    <dataValidation type="list" allowBlank="1" showInputMessage="1" showErrorMessage="1" sqref="K107:L107 K112:L112">
      <formula1>$N$107:$N$110</formula1>
    </dataValidation>
  </dataValidations>
  <hyperlinks>
    <hyperlink ref="A1" location="Notes!B18" display="X"/>
  </hyperlinks>
  <printOptions/>
  <pageMargins left="0.7086614173228347" right="0.7086614173228347" top="0.7480314960629921" bottom="0.7480314960629921"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dimension ref="A1:M23"/>
  <sheetViews>
    <sheetView showGridLines="0" showZeros="0" zoomScale="110" zoomScaleNormal="110" zoomScalePageLayoutView="0" workbookViewId="0" topLeftCell="A1">
      <pane ySplit="2" topLeftCell="A3" activePane="bottomLeft" state="frozen"/>
      <selection pane="topLeft" activeCell="A1" sqref="A1"/>
      <selection pane="bottomLeft" activeCell="B2" sqref="B2"/>
    </sheetView>
  </sheetViews>
  <sheetFormatPr defaultColWidth="11.421875" defaultRowHeight="15"/>
  <cols>
    <col min="1" max="1" width="4.28125" style="57" customWidth="1"/>
    <col min="2" max="2" width="29.28125" style="57" customWidth="1"/>
    <col min="3" max="3" width="23.57421875" style="57" customWidth="1"/>
    <col min="4" max="4" width="13.8515625" style="57" customWidth="1"/>
    <col min="5" max="5" width="6.28125" style="57" customWidth="1"/>
    <col min="6" max="6" width="2.7109375" style="57" customWidth="1"/>
    <col min="7" max="7" width="11.421875" style="57" customWidth="1"/>
    <col min="8" max="8" width="12.28125" style="57" hidden="1" customWidth="1"/>
    <col min="9" max="9" width="15.7109375" style="57" hidden="1" customWidth="1"/>
    <col min="10" max="10" width="11.421875" style="57" hidden="1" customWidth="1"/>
    <col min="11" max="11" width="16.57421875" style="57" hidden="1" customWidth="1"/>
    <col min="12" max="12" width="27.28125" style="57" hidden="1" customWidth="1"/>
    <col min="13" max="13" width="11.421875" style="57" hidden="1" customWidth="1"/>
    <col min="14" max="14" width="11.421875" style="57" customWidth="1"/>
    <col min="15" max="16384" width="11.421875" style="57" customWidth="1"/>
  </cols>
  <sheetData>
    <row r="1" spans="1:6" s="218" customFormat="1" ht="19.5" thickBot="1">
      <c r="A1" s="461" t="s">
        <v>243</v>
      </c>
      <c r="B1" s="464" t="s">
        <v>244</v>
      </c>
      <c r="F1" s="248"/>
    </row>
    <row r="2" s="218" customFormat="1" ht="12.75">
      <c r="F2" s="248"/>
    </row>
    <row r="3" spans="2:4" ht="18.75" customHeight="1">
      <c r="B3" s="703" t="s">
        <v>29</v>
      </c>
      <c r="C3" s="703"/>
      <c r="D3" s="703"/>
    </row>
    <row r="4" spans="2:4" s="61" customFormat="1" ht="15">
      <c r="B4" s="59" t="s">
        <v>126</v>
      </c>
      <c r="C4" s="59" t="s">
        <v>20</v>
      </c>
      <c r="D4" s="60"/>
    </row>
    <row r="5" spans="2:4" ht="15">
      <c r="B5" s="62" t="s">
        <v>45</v>
      </c>
      <c r="C5" s="63" t="s">
        <v>21</v>
      </c>
      <c r="D5" s="491">
        <f>_xlfn.IFERROR(D6/D4,)</f>
        <v>0</v>
      </c>
    </row>
    <row r="6" spans="2:4" ht="15">
      <c r="B6" s="62" t="s">
        <v>22</v>
      </c>
      <c r="C6" s="63" t="s">
        <v>23</v>
      </c>
      <c r="D6" s="64"/>
    </row>
    <row r="7" ht="15" customHeight="1"/>
    <row r="8" spans="3:4" ht="15" customHeight="1">
      <c r="C8" s="699" t="s">
        <v>44</v>
      </c>
      <c r="D8" s="700"/>
    </row>
    <row r="9" spans="3:4" ht="15" customHeight="1">
      <c r="C9" s="492" t="str">
        <f>VLOOKUP(C14,H15:M21,6,FALSE)</f>
        <v>kWh/L</v>
      </c>
      <c r="D9" s="66" t="s">
        <v>40</v>
      </c>
    </row>
    <row r="10" spans="3:4" ht="16.5" customHeight="1">
      <c r="C10" s="493">
        <f>VLOOKUP(C14,H15:M21,5,FALSE)</f>
        <v>7.6</v>
      </c>
      <c r="D10" s="494">
        <f>D6*C10</f>
        <v>0</v>
      </c>
    </row>
    <row r="11" spans="3:4" ht="17.25" customHeight="1">
      <c r="C11" s="65"/>
      <c r="D11" s="65"/>
    </row>
    <row r="12" spans="2:4" ht="37.5" customHeight="1">
      <c r="B12" s="704" t="s">
        <v>260</v>
      </c>
      <c r="C12" s="704"/>
      <c r="D12" s="704"/>
    </row>
    <row r="13" spans="2:4" ht="15.75" thickBot="1">
      <c r="B13" s="701" t="s">
        <v>226</v>
      </c>
      <c r="C13" s="702"/>
      <c r="D13" s="44"/>
    </row>
    <row r="14" spans="2:13" ht="15">
      <c r="B14" s="97"/>
      <c r="C14" s="697" t="s">
        <v>249</v>
      </c>
      <c r="D14" s="448" t="s">
        <v>78</v>
      </c>
      <c r="H14" s="699" t="s">
        <v>42</v>
      </c>
      <c r="I14" s="700"/>
      <c r="J14" s="465" t="s">
        <v>252</v>
      </c>
      <c r="K14" s="465" t="s">
        <v>253</v>
      </c>
      <c r="L14" s="465" t="s">
        <v>254</v>
      </c>
      <c r="M14" s="465" t="s">
        <v>46</v>
      </c>
    </row>
    <row r="15" spans="2:13" ht="15">
      <c r="B15" s="469" t="s">
        <v>258</v>
      </c>
      <c r="C15" s="698"/>
      <c r="D15" s="471" t="s">
        <v>263</v>
      </c>
      <c r="H15" s="696" t="s">
        <v>34</v>
      </c>
      <c r="I15" s="696"/>
      <c r="J15" s="500">
        <f>'6-PCS et PCI'!D9/3.6</f>
        <v>1</v>
      </c>
      <c r="K15" s="466">
        <v>0.99</v>
      </c>
      <c r="L15" s="500">
        <f>J15*K15</f>
        <v>0.99</v>
      </c>
      <c r="M15" s="467" t="s">
        <v>255</v>
      </c>
    </row>
    <row r="16" spans="2:13" ht="15">
      <c r="B16" s="449" t="s">
        <v>25</v>
      </c>
      <c r="C16" s="505">
        <f>D6</f>
        <v>0</v>
      </c>
      <c r="D16" s="506">
        <f>C16*D13/1000</f>
        <v>0</v>
      </c>
      <c r="H16" s="695" t="s">
        <v>247</v>
      </c>
      <c r="I16" s="696"/>
      <c r="J16" s="500">
        <f>'6-PCS et PCI'!D10/3.6</f>
        <v>10.525</v>
      </c>
      <c r="K16" s="466">
        <v>0.75</v>
      </c>
      <c r="L16" s="500">
        <f aca="true" t="shared" si="0" ref="L16:L21">J16*K16</f>
        <v>7.893750000000001</v>
      </c>
      <c r="M16" s="467" t="s">
        <v>256</v>
      </c>
    </row>
    <row r="17" spans="2:13" ht="30">
      <c r="B17" s="450" t="s">
        <v>26</v>
      </c>
      <c r="C17" s="45"/>
      <c r="D17" s="451"/>
      <c r="H17" s="695" t="s">
        <v>248</v>
      </c>
      <c r="I17" s="696"/>
      <c r="J17" s="500">
        <f>'6-PCS et PCI'!D10/3.6</f>
        <v>10.525</v>
      </c>
      <c r="K17" s="466">
        <v>0.875</v>
      </c>
      <c r="L17" s="500">
        <f t="shared" si="0"/>
        <v>9.209375</v>
      </c>
      <c r="M17" s="467" t="s">
        <v>256</v>
      </c>
    </row>
    <row r="18" spans="2:13" ht="30">
      <c r="B18" s="450" t="s">
        <v>27</v>
      </c>
      <c r="C18" s="495">
        <f>C16*C17</f>
        <v>0</v>
      </c>
      <c r="D18" s="497">
        <f>D16*D17</f>
        <v>0</v>
      </c>
      <c r="H18" s="695" t="s">
        <v>249</v>
      </c>
      <c r="I18" s="696"/>
      <c r="J18" s="500">
        <f>'6-PCS et PCI'!D11/3.6</f>
        <v>10.777777777777777</v>
      </c>
      <c r="K18" s="466">
        <v>0.7051546391752578</v>
      </c>
      <c r="L18" s="500">
        <f t="shared" si="0"/>
        <v>7.6</v>
      </c>
      <c r="M18" s="467" t="s">
        <v>257</v>
      </c>
    </row>
    <row r="19" spans="2:13" ht="15">
      <c r="B19" s="169" t="s">
        <v>28</v>
      </c>
      <c r="C19" s="68"/>
      <c r="D19" s="497">
        <f>C18-D18</f>
        <v>0</v>
      </c>
      <c r="H19" s="695" t="s">
        <v>246</v>
      </c>
      <c r="I19" s="696"/>
      <c r="J19" s="500">
        <f>'6-PCS et PCI'!D12/3.6</f>
        <v>11.805555555555555</v>
      </c>
      <c r="K19" s="466">
        <v>0.7051546391752578</v>
      </c>
      <c r="L19" s="500">
        <f t="shared" si="0"/>
        <v>8.324742268041238</v>
      </c>
      <c r="M19" s="467" t="s">
        <v>257</v>
      </c>
    </row>
    <row r="20" spans="2:13" ht="30">
      <c r="B20" s="450" t="s">
        <v>30</v>
      </c>
      <c r="C20" s="496">
        <f>_xlfn.IFERROR(C18/D4,)</f>
        <v>0</v>
      </c>
      <c r="D20" s="498">
        <f>_xlfn.IFERROR(D18/D4,)</f>
        <v>0</v>
      </c>
      <c r="H20" s="695" t="s">
        <v>250</v>
      </c>
      <c r="I20" s="696"/>
      <c r="J20" s="500">
        <f>'6-PCS et PCI'!D13/3.6</f>
        <v>7.091666666666667</v>
      </c>
      <c r="K20" s="466">
        <v>0.75</v>
      </c>
      <c r="L20" s="500">
        <f t="shared" si="0"/>
        <v>5.31875</v>
      </c>
      <c r="M20" s="467" t="s">
        <v>257</v>
      </c>
    </row>
    <row r="21" spans="2:13" ht="15.75" thickBot="1">
      <c r="B21" s="452" t="s">
        <v>31</v>
      </c>
      <c r="C21" s="453"/>
      <c r="D21" s="499">
        <f>_xlfn.IFERROR(D19/D4,)</f>
        <v>0</v>
      </c>
      <c r="H21" s="695" t="s">
        <v>251</v>
      </c>
      <c r="I21" s="696"/>
      <c r="J21" s="500">
        <f>'6-PCS et PCI'!D13/3.6</f>
        <v>7.091666666666667</v>
      </c>
      <c r="K21" s="466">
        <v>0.875</v>
      </c>
      <c r="L21" s="500">
        <f t="shared" si="0"/>
        <v>6.205208333333333</v>
      </c>
      <c r="M21" s="467" t="s">
        <v>257</v>
      </c>
    </row>
    <row r="22" ht="18" customHeight="1">
      <c r="B22" s="420" t="s">
        <v>227</v>
      </c>
    </row>
    <row r="23" ht="15">
      <c r="B23" s="63" t="s">
        <v>49</v>
      </c>
    </row>
  </sheetData>
  <sheetProtection sheet="1" objects="1" scenarios="1"/>
  <mergeCells count="13">
    <mergeCell ref="B13:C13"/>
    <mergeCell ref="B3:D3"/>
    <mergeCell ref="C8:D8"/>
    <mergeCell ref="B12:D12"/>
    <mergeCell ref="H20:I20"/>
    <mergeCell ref="H21:I21"/>
    <mergeCell ref="C14:C15"/>
    <mergeCell ref="H15:I15"/>
    <mergeCell ref="H16:I16"/>
    <mergeCell ref="H17:I17"/>
    <mergeCell ref="H19:I19"/>
    <mergeCell ref="H18:I18"/>
    <mergeCell ref="H14:I14"/>
  </mergeCells>
  <dataValidations count="1">
    <dataValidation type="list" allowBlank="1" showInputMessage="1" showErrorMessage="1" sqref="C14">
      <formula1>$H$15:$H$21</formula1>
    </dataValidation>
  </dataValidations>
  <hyperlinks>
    <hyperlink ref="A1" location="Notes!B18" display="X"/>
  </hyperlinks>
  <printOptions horizontalCentered="1"/>
  <pageMargins left="0.7086614173228347" right="0.7086614173228347" top="0.7480314960629921" bottom="0.7480314960629921" header="0.31496062992125984" footer="0.31496062992125984"/>
  <pageSetup orientation="portrait"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showZeros="0" zoomScale="110" zoomScaleNormal="110" zoomScalePageLayoutView="0" workbookViewId="0" topLeftCell="A1">
      <pane ySplit="2" topLeftCell="A3" activePane="bottomLeft" state="frozen"/>
      <selection pane="topLeft" activeCell="A1" sqref="A1"/>
      <selection pane="bottomLeft" activeCell="B2" sqref="B2"/>
    </sheetView>
  </sheetViews>
  <sheetFormatPr defaultColWidth="11.421875" defaultRowHeight="15"/>
  <cols>
    <col min="1" max="1" width="4.28125" style="8" customWidth="1"/>
    <col min="2" max="2" width="21.140625" style="8" customWidth="1"/>
    <col min="3" max="3" width="12.8515625" style="8" customWidth="1"/>
    <col min="4" max="5" width="11.421875" style="8" customWidth="1"/>
    <col min="6" max="6" width="2.421875" style="8" customWidth="1"/>
    <col min="7" max="7" width="22.7109375" style="8" customWidth="1"/>
    <col min="8" max="10" width="10.7109375" style="8" customWidth="1"/>
    <col min="11" max="11" width="9.7109375" style="8" customWidth="1"/>
    <col min="12" max="16384" width="11.421875" style="8" customWidth="1"/>
  </cols>
  <sheetData>
    <row r="1" spans="1:6" s="218" customFormat="1" ht="19.5" thickBot="1">
      <c r="A1" s="461" t="s">
        <v>243</v>
      </c>
      <c r="B1" s="561" t="s">
        <v>279</v>
      </c>
      <c r="F1" s="248"/>
    </row>
    <row r="2" s="218" customFormat="1" ht="12.75">
      <c r="F2" s="248"/>
    </row>
    <row r="3" spans="2:7" ht="15">
      <c r="B3" s="5" t="s">
        <v>59</v>
      </c>
      <c r="F3" s="52"/>
      <c r="G3" s="5" t="s">
        <v>60</v>
      </c>
    </row>
    <row r="4" spans="2:10" ht="15.75" thickBot="1">
      <c r="B4" s="705" t="s">
        <v>326</v>
      </c>
      <c r="C4" s="706"/>
      <c r="D4" s="706"/>
      <c r="E4" s="706"/>
      <c r="F4" s="52"/>
      <c r="G4" s="705" t="s">
        <v>327</v>
      </c>
      <c r="H4" s="706"/>
      <c r="I4" s="706"/>
      <c r="J4" s="706"/>
    </row>
    <row r="5" spans="2:11" ht="45.75" thickBot="1">
      <c r="B5" s="70" t="s">
        <v>47</v>
      </c>
      <c r="C5" s="71" t="s">
        <v>46</v>
      </c>
      <c r="D5" s="71" t="s">
        <v>58</v>
      </c>
      <c r="E5" s="72" t="s">
        <v>32</v>
      </c>
      <c r="F5" s="52"/>
      <c r="G5" s="70" t="s">
        <v>47</v>
      </c>
      <c r="H5" s="71" t="s">
        <v>33</v>
      </c>
      <c r="I5" s="72" t="s">
        <v>32</v>
      </c>
      <c r="J5" s="513" t="s">
        <v>264</v>
      </c>
      <c r="K5" s="510" t="s">
        <v>265</v>
      </c>
    </row>
    <row r="6" spans="2:11" ht="17.25">
      <c r="B6" s="524" t="s">
        <v>266</v>
      </c>
      <c r="C6" s="74" t="s">
        <v>39</v>
      </c>
      <c r="D6" s="540">
        <v>2.75</v>
      </c>
      <c r="E6" s="541">
        <v>3.5</v>
      </c>
      <c r="F6" s="52"/>
      <c r="G6" s="524" t="s">
        <v>266</v>
      </c>
      <c r="H6" s="528">
        <f>'3-Frais de fonctionnement'!E20</f>
        <v>0</v>
      </c>
      <c r="I6" s="529">
        <f>'3-Frais de fonctionnement'!E21</f>
        <v>0</v>
      </c>
      <c r="J6" s="530">
        <f>I6-H6</f>
        <v>0</v>
      </c>
      <c r="K6" s="529" t="str">
        <f>_xlfn.IFERROR(J6/H6*100," ")</f>
        <v> </v>
      </c>
    </row>
    <row r="7" spans="2:11" ht="17.25">
      <c r="B7" s="525" t="s">
        <v>267</v>
      </c>
      <c r="C7" s="75" t="s">
        <v>63</v>
      </c>
      <c r="D7" s="538" t="str">
        <f>_xlfn.IFERROR(H7/'2-Coûts des combustibles'!$D$4," ")</f>
        <v> </v>
      </c>
      <c r="E7" s="539" t="str">
        <f>_xlfn.IFERROR(I7/'2-Coûts des combustibles'!$D$4," ")</f>
        <v> </v>
      </c>
      <c r="F7" s="53"/>
      <c r="G7" s="525" t="s">
        <v>267</v>
      </c>
      <c r="H7" s="437">
        <f>$D$30*$D$34*$D$33/1000</f>
        <v>0</v>
      </c>
      <c r="I7" s="531">
        <f>$D$32*$D$35*$D$33/1000</f>
        <v>0</v>
      </c>
      <c r="J7" s="532">
        <f>I7-H7</f>
        <v>0</v>
      </c>
      <c r="K7" s="533" t="str">
        <f>_xlfn.IFERROR(J7/H7*100," ")</f>
        <v> </v>
      </c>
    </row>
    <row r="8" spans="2:11" ht="17.25">
      <c r="B8" s="526" t="s">
        <v>268</v>
      </c>
      <c r="C8" s="560" t="s">
        <v>278</v>
      </c>
      <c r="D8" s="537"/>
      <c r="E8" s="542"/>
      <c r="F8" s="78"/>
      <c r="G8" s="526" t="s">
        <v>268</v>
      </c>
      <c r="H8" s="425">
        <f>IF('2-Coûts des combustibles'!C16&gt;0,D8*D12*D11,)</f>
        <v>0</v>
      </c>
      <c r="I8" s="533">
        <f>IF('2-Coûts des combustibles'!D16&gt;0,E8*E12*E11,)</f>
        <v>0</v>
      </c>
      <c r="J8" s="532">
        <f>I8-H8</f>
        <v>0</v>
      </c>
      <c r="K8" s="533" t="str">
        <f>_xlfn.IFERROR(J8/H8*100," ")</f>
        <v> </v>
      </c>
    </row>
    <row r="9" spans="2:11" ht="18" thickBot="1">
      <c r="B9" s="526" t="s">
        <v>269</v>
      </c>
      <c r="C9" s="77" t="s">
        <v>36</v>
      </c>
      <c r="D9" s="545"/>
      <c r="E9" s="546" t="str">
        <f>_xlfn.IFERROR(I9/'2-Coûts des combustibles'!$D$16,"  ")</f>
        <v>  </v>
      </c>
      <c r="F9" s="52"/>
      <c r="G9" s="527" t="s">
        <v>269</v>
      </c>
      <c r="H9" s="547"/>
      <c r="I9" s="548"/>
      <c r="J9" s="535">
        <f>I9-H9</f>
        <v>0</v>
      </c>
      <c r="K9" s="534" t="str">
        <f>_xlfn.IFERROR(J9/H9*100," ")</f>
        <v> </v>
      </c>
    </row>
    <row r="10" spans="2:11" ht="18" thickBot="1">
      <c r="B10" s="526" t="s">
        <v>269</v>
      </c>
      <c r="C10" s="77" t="s">
        <v>48</v>
      </c>
      <c r="D10" s="549" t="str">
        <f>_xlfn.IFERROR(H9/'2-Coûts des combustibles'!C16*1000," ")</f>
        <v> </v>
      </c>
      <c r="E10" s="544"/>
      <c r="F10" s="52"/>
      <c r="G10" s="19" t="s">
        <v>122</v>
      </c>
      <c r="H10" s="480">
        <f>SUM(H6:H9)</f>
        <v>0</v>
      </c>
      <c r="I10" s="481">
        <f>SUM(I6:I9)</f>
        <v>0</v>
      </c>
      <c r="J10" s="511">
        <f>I10-H10</f>
        <v>0</v>
      </c>
      <c r="K10" s="481" t="str">
        <f>_xlfn.IFERROR(J10/H10*100," ")</f>
        <v> </v>
      </c>
    </row>
    <row r="11" spans="2:11" ht="15.75" thickBot="1">
      <c r="B11" s="526" t="s">
        <v>270</v>
      </c>
      <c r="C11" s="77" t="s">
        <v>37</v>
      </c>
      <c r="D11" s="537"/>
      <c r="E11" s="474"/>
      <c r="F11" s="52"/>
      <c r="G11" s="475" t="s">
        <v>259</v>
      </c>
      <c r="H11" s="508" t="str">
        <f>_xlfn.IFERROR(H10/'2-Coûts des combustibles'!$D$4," ")</f>
        <v> </v>
      </c>
      <c r="I11" s="508" t="str">
        <f>_xlfn.IFERROR(I10/'2-Coûts des combustibles'!$D$4," ")</f>
        <v> </v>
      </c>
      <c r="J11" s="512" t="str">
        <f>_xlfn.IFERROR(J10/'2-Coûts des combustibles'!$D$4," ")</f>
        <v> </v>
      </c>
      <c r="K11" s="509"/>
    </row>
    <row r="12" spans="2:11" ht="15">
      <c r="B12" s="76" t="s">
        <v>56</v>
      </c>
      <c r="C12" s="77" t="s">
        <v>57</v>
      </c>
      <c r="D12" s="537"/>
      <c r="E12" s="474"/>
      <c r="G12" s="720" t="s">
        <v>280</v>
      </c>
      <c r="H12" s="721"/>
      <c r="I12" s="721"/>
      <c r="J12" s="721"/>
      <c r="K12" s="721"/>
    </row>
    <row r="13" spans="2:11" ht="15.75" thickBot="1">
      <c r="B13" s="79" t="s">
        <v>55</v>
      </c>
      <c r="C13" s="562" t="s">
        <v>281</v>
      </c>
      <c r="D13" s="482">
        <f>E13</f>
        <v>0</v>
      </c>
      <c r="E13" s="543"/>
      <c r="G13" s="722"/>
      <c r="H13" s="722"/>
      <c r="I13" s="722"/>
      <c r="J13" s="722"/>
      <c r="K13" s="722"/>
    </row>
    <row r="14" ht="4.5" customHeight="1"/>
    <row r="15" ht="15">
      <c r="B15" s="54" t="s">
        <v>49</v>
      </c>
    </row>
    <row r="16" ht="4.5" customHeight="1"/>
    <row r="17" ht="7.5" customHeight="1"/>
    <row r="18" spans="2:10" ht="18" thickBot="1">
      <c r="B18" s="707" t="s">
        <v>272</v>
      </c>
      <c r="C18" s="707"/>
      <c r="D18" s="707"/>
      <c r="E18" s="707"/>
      <c r="F18" s="80"/>
      <c r="G18" s="707" t="s">
        <v>62</v>
      </c>
      <c r="H18" s="707"/>
      <c r="I18" s="707"/>
      <c r="J18" s="707"/>
    </row>
    <row r="19" spans="2:10" ht="60.75" thickBot="1">
      <c r="B19" s="81" t="s">
        <v>42</v>
      </c>
      <c r="C19" s="563" t="s">
        <v>282</v>
      </c>
      <c r="D19" s="564" t="s">
        <v>40</v>
      </c>
      <c r="E19" s="72" t="s">
        <v>35</v>
      </c>
      <c r="F19" s="82"/>
      <c r="G19" s="83"/>
      <c r="H19" s="84"/>
      <c r="I19" s="6" t="s">
        <v>167</v>
      </c>
      <c r="J19" s="72" t="s">
        <v>61</v>
      </c>
    </row>
    <row r="20" spans="2:10" ht="15">
      <c r="B20" s="85" t="s">
        <v>24</v>
      </c>
      <c r="C20" s="487">
        <f>D6</f>
        <v>2.75</v>
      </c>
      <c r="D20" s="476">
        <f>'2-Coûts des combustibles'!D10/100*C20</f>
        <v>0</v>
      </c>
      <c r="E20" s="477">
        <f>D20*E13</f>
        <v>0</v>
      </c>
      <c r="F20" s="82"/>
      <c r="G20" s="565" t="s">
        <v>283</v>
      </c>
      <c r="H20" s="56"/>
      <c r="I20" s="485" t="str">
        <f>_xlfn.IFERROR(J20/'2-Coûts des combustibles'!$D$4," ")</f>
        <v> </v>
      </c>
      <c r="J20" s="486">
        <f>'4-Investissents'!G48</f>
        <v>0</v>
      </c>
    </row>
    <row r="21" spans="2:10" ht="15.75" thickBot="1">
      <c r="B21" s="86" t="s">
        <v>41</v>
      </c>
      <c r="C21" s="488">
        <f>E6</f>
        <v>3.5</v>
      </c>
      <c r="D21" s="478">
        <f>'2-Coûts des combustibles'!D10*C21/100</f>
        <v>0</v>
      </c>
      <c r="E21" s="479">
        <f>E13*D21</f>
        <v>0</v>
      </c>
      <c r="F21" s="82"/>
      <c r="G21" s="17"/>
      <c r="H21" s="87"/>
      <c r="I21" s="87"/>
      <c r="J21" s="18"/>
    </row>
    <row r="22" spans="2:10" ht="15.75" customHeight="1" thickBot="1">
      <c r="B22" s="88" t="s">
        <v>43</v>
      </c>
      <c r="C22" s="514">
        <f>C21-C20</f>
        <v>0.75</v>
      </c>
      <c r="D22" s="483">
        <f>D21-D20</f>
        <v>0</v>
      </c>
      <c r="E22" s="484">
        <f>E21-E20</f>
        <v>0</v>
      </c>
      <c r="F22" s="89"/>
      <c r="G22" s="708" t="s">
        <v>121</v>
      </c>
      <c r="H22" s="517">
        <v>0.02</v>
      </c>
      <c r="I22" s="520" t="str">
        <f>_xlfn.IFERROR(H22*$I$20," ")</f>
        <v> </v>
      </c>
      <c r="J22" s="522">
        <f>H22*$J$20</f>
        <v>0</v>
      </c>
    </row>
    <row r="23" spans="2:10" ht="15.75" thickBot="1">
      <c r="B23" s="90"/>
      <c r="C23" s="52"/>
      <c r="E23" s="89"/>
      <c r="G23" s="709"/>
      <c r="H23" s="518">
        <v>0.03</v>
      </c>
      <c r="I23" s="520" t="str">
        <f>_xlfn.IFERROR(H23*$I$20," ")</f>
        <v> </v>
      </c>
      <c r="J23" s="522">
        <f>H23*$J$20</f>
        <v>0</v>
      </c>
    </row>
    <row r="24" spans="2:10" ht="15">
      <c r="B24" s="731" t="s">
        <v>284</v>
      </c>
      <c r="C24" s="732"/>
      <c r="D24" s="489" t="str">
        <f>_xlfn.IFERROR(D21/'2-Coûts des combustibles'!D16," ")</f>
        <v> </v>
      </c>
      <c r="G24" s="709"/>
      <c r="H24" s="518">
        <v>0.04</v>
      </c>
      <c r="I24" s="520" t="str">
        <f>_xlfn.IFERROR(H24*$I$20," ")</f>
        <v> </v>
      </c>
      <c r="J24" s="522">
        <f>H24*$J$20</f>
        <v>0</v>
      </c>
    </row>
    <row r="25" spans="2:10" ht="15.75" thickBot="1">
      <c r="B25" s="566" t="s">
        <v>285</v>
      </c>
      <c r="C25" s="91"/>
      <c r="D25" s="490" t="str">
        <f>_xlfn.IFERROR(E13*D24," ")</f>
        <v> </v>
      </c>
      <c r="G25" s="709"/>
      <c r="H25" s="518">
        <v>0.05</v>
      </c>
      <c r="I25" s="520" t="str">
        <f>_xlfn.IFERROR(H25*$I$20," ")</f>
        <v> </v>
      </c>
      <c r="J25" s="522">
        <f>H25*$J$20</f>
        <v>0</v>
      </c>
    </row>
    <row r="26" spans="7:10" ht="15.75" thickBot="1">
      <c r="G26" s="710"/>
      <c r="H26" s="519">
        <v>0.06</v>
      </c>
      <c r="I26" s="521" t="str">
        <f>_xlfn.IFERROR(H26*$I$20," ")</f>
        <v> </v>
      </c>
      <c r="J26" s="523">
        <f>H26*$J$20</f>
        <v>0</v>
      </c>
    </row>
    <row r="27" spans="2:10" ht="33.75" customHeight="1">
      <c r="B27" s="711" t="s">
        <v>286</v>
      </c>
      <c r="C27" s="712"/>
      <c r="D27" s="712"/>
      <c r="E27" s="712"/>
      <c r="G27" s="515" t="s">
        <v>79</v>
      </c>
      <c r="H27" s="516"/>
      <c r="I27" s="515"/>
      <c r="J27" s="515"/>
    </row>
    <row r="28" spans="2:10" ht="21.75" customHeight="1" thickBot="1">
      <c r="B28" s="5" t="s">
        <v>271</v>
      </c>
      <c r="G28" s="730"/>
      <c r="H28" s="730"/>
      <c r="I28" s="730"/>
      <c r="J28" s="730"/>
    </row>
    <row r="29" spans="2:10" ht="15.75" customHeight="1">
      <c r="B29" s="724"/>
      <c r="C29" s="725"/>
      <c r="D29" s="553" t="s">
        <v>88</v>
      </c>
      <c r="E29" s="557" t="s">
        <v>274</v>
      </c>
      <c r="G29" s="507"/>
      <c r="H29" s="507"/>
      <c r="I29" s="507"/>
      <c r="J29" s="507"/>
    </row>
    <row r="30" spans="2:5" ht="30" customHeight="1">
      <c r="B30" s="723" t="s">
        <v>275</v>
      </c>
      <c r="C30" s="714"/>
      <c r="D30" s="554"/>
      <c r="E30" s="558" t="str">
        <f>_xlfn.IFERROR(D30/'2-Coûts des combustibles'!D$4," ")</f>
        <v> </v>
      </c>
    </row>
    <row r="31" spans="2:5" ht="30" customHeight="1">
      <c r="B31" s="713" t="s">
        <v>287</v>
      </c>
      <c r="C31" s="714"/>
      <c r="D31" s="555"/>
      <c r="E31" s="558" t="str">
        <f>_xlfn.IFERROR(D31/'2-Coûts des combustibles'!D$4," ")</f>
        <v> </v>
      </c>
    </row>
    <row r="32" spans="2:5" ht="18.75" customHeight="1" thickBot="1">
      <c r="B32" s="728" t="s">
        <v>134</v>
      </c>
      <c r="C32" s="729"/>
      <c r="D32" s="556">
        <f>SUM(D30:D31)</f>
        <v>0</v>
      </c>
      <c r="E32" s="559" t="str">
        <f>_xlfn.IFERROR(D32/'2-Coûts des combustibles'!D$4," ")</f>
        <v> </v>
      </c>
    </row>
    <row r="33" spans="2:5" ht="29.25" customHeight="1">
      <c r="B33" s="726" t="s">
        <v>276</v>
      </c>
      <c r="C33" s="727"/>
      <c r="D33" s="552"/>
      <c r="E33" s="55"/>
    </row>
    <row r="34" spans="2:7" ht="15" customHeight="1">
      <c r="B34" s="713" t="s">
        <v>288</v>
      </c>
      <c r="C34" s="714"/>
      <c r="D34" s="550"/>
      <c r="E34" s="55"/>
      <c r="G34" s="536"/>
    </row>
    <row r="35" spans="2:5" ht="15" customHeight="1" thickBot="1">
      <c r="B35" s="715" t="s">
        <v>277</v>
      </c>
      <c r="C35" s="716"/>
      <c r="D35" s="551"/>
      <c r="E35" s="55"/>
    </row>
    <row r="37" ht="17.25">
      <c r="B37" s="5" t="s">
        <v>273</v>
      </c>
    </row>
    <row r="38" spans="2:5" ht="59.25" customHeight="1">
      <c r="B38" s="717" t="s">
        <v>289</v>
      </c>
      <c r="C38" s="718"/>
      <c r="D38" s="718"/>
      <c r="E38" s="719"/>
    </row>
    <row r="39" ht="7.5" customHeight="1"/>
  </sheetData>
  <sheetProtection sheet="1" objects="1" scenarios="1"/>
  <mergeCells count="17">
    <mergeCell ref="B34:C34"/>
    <mergeCell ref="B35:C35"/>
    <mergeCell ref="B38:E38"/>
    <mergeCell ref="G12:K13"/>
    <mergeCell ref="B30:C30"/>
    <mergeCell ref="B31:C31"/>
    <mergeCell ref="B29:C29"/>
    <mergeCell ref="B33:C33"/>
    <mergeCell ref="B32:C32"/>
    <mergeCell ref="G28:J28"/>
    <mergeCell ref="G18:J18"/>
    <mergeCell ref="B24:C24"/>
    <mergeCell ref="B4:E4"/>
    <mergeCell ref="B18:E18"/>
    <mergeCell ref="G22:G26"/>
    <mergeCell ref="G4:J4"/>
    <mergeCell ref="B27:E27"/>
  </mergeCells>
  <hyperlinks>
    <hyperlink ref="A1" location="Notes!B18" display="X"/>
  </hyperlinks>
  <printOptions horizontalCentered="1"/>
  <pageMargins left="0.7086614173228347" right="0.7086614173228347" top="0.7480314960629921" bottom="0.7480314960629921" header="0.31496062992125984" footer="0.31496062992125984"/>
  <pageSetup fitToHeight="1" fitToWidth="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R59"/>
  <sheetViews>
    <sheetView showGridLines="0" showZeros="0" zoomScale="90" zoomScaleNormal="90" zoomScalePageLayoutView="0" workbookViewId="0" topLeftCell="A1">
      <pane ySplit="6" topLeftCell="A21" activePane="bottomLeft" state="frozen"/>
      <selection pane="topLeft" activeCell="A1" sqref="A1"/>
      <selection pane="bottomLeft" activeCell="J40" sqref="J40"/>
    </sheetView>
  </sheetViews>
  <sheetFormatPr defaultColWidth="11.421875" defaultRowHeight="15"/>
  <cols>
    <col min="1" max="1" width="4.28125" style="57" customWidth="1"/>
    <col min="2" max="2" width="4.421875" style="57" customWidth="1"/>
    <col min="3" max="3" width="13.421875" style="57" customWidth="1"/>
    <col min="4" max="4" width="18.140625" style="57" customWidth="1"/>
    <col min="5" max="5" width="10.57421875" style="92" customWidth="1"/>
    <col min="6" max="6" width="10.57421875" style="57" customWidth="1"/>
    <col min="7" max="7" width="10.7109375" style="57" customWidth="1"/>
    <col min="8" max="8" width="9.57421875" style="93" customWidth="1"/>
    <col min="9" max="9" width="9.57421875" style="93" hidden="1" customWidth="1"/>
    <col min="10" max="10" width="9.57421875" style="94" customWidth="1"/>
    <col min="11" max="11" width="14.421875" style="57" bestFit="1" customWidth="1"/>
    <col min="12" max="12" width="3.28125" style="95" customWidth="1"/>
    <col min="13" max="14" width="12.140625" style="57" customWidth="1"/>
    <col min="15" max="15" width="3.140625" style="57" customWidth="1"/>
    <col min="16" max="16" width="11.421875" style="57" hidden="1" customWidth="1"/>
    <col min="17" max="16384" width="11.421875" style="57" customWidth="1"/>
  </cols>
  <sheetData>
    <row r="1" spans="1:6" s="218" customFormat="1" ht="19.5" thickBot="1">
      <c r="A1" s="461" t="s">
        <v>243</v>
      </c>
      <c r="B1" s="561" t="s">
        <v>294</v>
      </c>
      <c r="F1" s="248"/>
    </row>
    <row r="2" s="218" customFormat="1" ht="12.75">
      <c r="F2" s="248"/>
    </row>
    <row r="3" spans="2:11" ht="21" customHeight="1" thickBot="1">
      <c r="B3" s="750" t="s">
        <v>331</v>
      </c>
      <c r="C3" s="750"/>
      <c r="D3" s="750"/>
      <c r="E3" s="750"/>
      <c r="F3" s="750"/>
      <c r="G3" s="750"/>
      <c r="H3" s="750"/>
      <c r="I3" s="750"/>
      <c r="J3" s="750"/>
      <c r="K3" s="603"/>
    </row>
    <row r="4" spans="2:14" ht="15" customHeight="1">
      <c r="B4" s="756" t="s">
        <v>126</v>
      </c>
      <c r="C4" s="756"/>
      <c r="D4" s="501">
        <f>'2-Coûts des combustibles'!D4</f>
        <v>0</v>
      </c>
      <c r="E4" s="65"/>
      <c r="F4" s="96"/>
      <c r="G4" s="96"/>
      <c r="H4" s="97" t="s">
        <v>86</v>
      </c>
      <c r="I4" s="98" t="s">
        <v>84</v>
      </c>
      <c r="J4" s="99" t="s">
        <v>93</v>
      </c>
      <c r="K4" s="98" t="s">
        <v>117</v>
      </c>
      <c r="L4" s="100"/>
      <c r="M4" s="101"/>
      <c r="N4" s="102"/>
    </row>
    <row r="5" spans="2:14" ht="30.75" thickBot="1">
      <c r="B5" s="758" t="s">
        <v>295</v>
      </c>
      <c r="C5" s="704"/>
      <c r="D5" s="504"/>
      <c r="E5" s="103"/>
      <c r="F5" s="96"/>
      <c r="G5" s="96"/>
      <c r="H5" s="104" t="s">
        <v>66</v>
      </c>
      <c r="I5" s="105" t="s">
        <v>85</v>
      </c>
      <c r="J5" s="106" t="s">
        <v>119</v>
      </c>
      <c r="K5" s="20" t="s">
        <v>174</v>
      </c>
      <c r="L5" s="100"/>
      <c r="M5" s="107"/>
      <c r="N5" s="108"/>
    </row>
    <row r="6" spans="2:14" ht="15.75" thickBot="1">
      <c r="B6" s="109"/>
      <c r="C6" s="109"/>
      <c r="D6" s="109"/>
      <c r="E6" s="110" t="s">
        <v>87</v>
      </c>
      <c r="F6" s="111" t="s">
        <v>123</v>
      </c>
      <c r="G6" s="112" t="s">
        <v>35</v>
      </c>
      <c r="H6" s="113" t="s">
        <v>67</v>
      </c>
      <c r="I6" s="114" t="s">
        <v>67</v>
      </c>
      <c r="J6" s="115" t="s">
        <v>118</v>
      </c>
      <c r="K6" s="114" t="s">
        <v>103</v>
      </c>
      <c r="L6" s="100"/>
      <c r="M6" s="735" t="s">
        <v>120</v>
      </c>
      <c r="N6" s="736"/>
    </row>
    <row r="7" spans="1:14" ht="15">
      <c r="A7" s="57">
        <v>1</v>
      </c>
      <c r="B7" s="116" t="s">
        <v>64</v>
      </c>
      <c r="C7" s="117"/>
      <c r="D7" s="117"/>
      <c r="E7" s="118" t="s">
        <v>20</v>
      </c>
      <c r="F7" s="67" t="s">
        <v>63</v>
      </c>
      <c r="G7" s="119"/>
      <c r="H7" s="104"/>
      <c r="I7" s="105"/>
      <c r="J7" s="120"/>
      <c r="K7" s="121"/>
      <c r="M7" s="122"/>
      <c r="N7" s="123"/>
    </row>
    <row r="8" spans="2:14" ht="15">
      <c r="B8" s="124"/>
      <c r="C8" s="96" t="s">
        <v>65</v>
      </c>
      <c r="D8" s="96"/>
      <c r="E8" s="125"/>
      <c r="F8" s="126"/>
      <c r="G8" s="127"/>
      <c r="H8" s="128">
        <f>_xlfn.IFERROR((G8/$G$48),)</f>
        <v>0</v>
      </c>
      <c r="I8" s="129"/>
      <c r="J8" s="503"/>
      <c r="K8" s="131">
        <f>_xlfn.IFERROR(G8/J8,)</f>
        <v>0</v>
      </c>
      <c r="L8" s="132"/>
      <c r="M8" s="133"/>
      <c r="N8" s="134"/>
    </row>
    <row r="9" spans="2:14" ht="15">
      <c r="B9" s="135"/>
      <c r="C9" s="570" t="s">
        <v>296</v>
      </c>
      <c r="D9" s="136"/>
      <c r="E9" s="21">
        <f>'2-Coûts des combustibles'!D16/0.75*0.8</f>
        <v>0</v>
      </c>
      <c r="F9" s="126"/>
      <c r="G9" s="375">
        <f>F9*E9</f>
        <v>0</v>
      </c>
      <c r="H9" s="376">
        <f>_xlfn.IFERROR((G9/$G$48),)</f>
        <v>0</v>
      </c>
      <c r="I9" s="137">
        <v>0.116</v>
      </c>
      <c r="J9" s="170"/>
      <c r="K9" s="377">
        <f>_xlfn.IFERROR(G9/J9,)</f>
        <v>0</v>
      </c>
      <c r="L9" s="132"/>
      <c r="M9" s="133"/>
      <c r="N9" s="134"/>
    </row>
    <row r="10" spans="5:14" ht="4.5" customHeight="1">
      <c r="E10" s="139"/>
      <c r="F10" s="69"/>
      <c r="G10" s="140"/>
      <c r="H10" s="141"/>
      <c r="I10" s="142"/>
      <c r="J10" s="143"/>
      <c r="K10" s="144"/>
      <c r="L10" s="145"/>
      <c r="M10" s="144"/>
      <c r="N10" s="144"/>
    </row>
    <row r="11" spans="1:14" ht="15">
      <c r="A11" s="57">
        <v>2</v>
      </c>
      <c r="B11" s="146" t="s">
        <v>97</v>
      </c>
      <c r="C11" s="147"/>
      <c r="D11" s="147"/>
      <c r="E11" s="148" t="s">
        <v>100</v>
      </c>
      <c r="F11" s="149" t="s">
        <v>36</v>
      </c>
      <c r="G11" s="150"/>
      <c r="H11" s="151"/>
      <c r="I11" s="152"/>
      <c r="J11" s="138"/>
      <c r="K11" s="153"/>
      <c r="L11" s="132"/>
      <c r="M11" s="154" t="s">
        <v>99</v>
      </c>
      <c r="N11" s="23" t="s">
        <v>171</v>
      </c>
    </row>
    <row r="12" spans="2:14" ht="15">
      <c r="B12" s="124"/>
      <c r="C12" s="746" t="s">
        <v>98</v>
      </c>
      <c r="D12" s="747"/>
      <c r="E12" s="156"/>
      <c r="F12" s="157"/>
      <c r="G12" s="375">
        <f>F12*E12</f>
        <v>0</v>
      </c>
      <c r="H12" s="128"/>
      <c r="I12" s="158"/>
      <c r="J12" s="503"/>
      <c r="K12" s="153"/>
      <c r="L12" s="132"/>
      <c r="M12" s="159"/>
      <c r="N12" s="153"/>
    </row>
    <row r="13" spans="2:14" ht="15">
      <c r="B13" s="124"/>
      <c r="C13" s="748" t="s">
        <v>101</v>
      </c>
      <c r="D13" s="749"/>
      <c r="E13" s="378">
        <f>IF(M14-E12&lt;0,,M14-E12)</f>
        <v>0</v>
      </c>
      <c r="F13" s="157"/>
      <c r="G13" s="375">
        <f>F13*E13</f>
        <v>0</v>
      </c>
      <c r="H13" s="160"/>
      <c r="I13" s="161"/>
      <c r="J13" s="503"/>
      <c r="K13" s="131"/>
      <c r="L13" s="132"/>
      <c r="M13" s="133"/>
      <c r="N13" s="134"/>
    </row>
    <row r="14" spans="2:14" ht="15">
      <c r="B14" s="135"/>
      <c r="C14" s="757" t="s">
        <v>303</v>
      </c>
      <c r="D14" s="738"/>
      <c r="E14" s="378">
        <f>SUM(E12:E13)</f>
        <v>0</v>
      </c>
      <c r="F14" s="379" t="str">
        <f>_xlfn.IFERROR(G14/E14," ")</f>
        <v> </v>
      </c>
      <c r="G14" s="375">
        <f>SUM(G12:G13)</f>
        <v>0</v>
      </c>
      <c r="H14" s="376">
        <f>_xlfn.IFERROR((G14/$G$48),)</f>
        <v>0</v>
      </c>
      <c r="I14" s="162">
        <v>0.053</v>
      </c>
      <c r="J14" s="380" t="str">
        <f>_xlfn.IFERROR((J12*G12+J13*G13)/G14," ")</f>
        <v> </v>
      </c>
      <c r="K14" s="377">
        <f>_xlfn.IFERROR(G14/J14,)</f>
        <v>0</v>
      </c>
      <c r="L14" s="132"/>
      <c r="M14" s="381">
        <f>_xlfn.IFERROR((N14*D5*24*0.7/1000)/('2-Coûts des combustibles'!C10/'2-Coûts des combustibles'!D13),)</f>
        <v>0</v>
      </c>
      <c r="N14" s="502"/>
    </row>
    <row r="15" spans="5:14" ht="4.5" customHeight="1">
      <c r="E15" s="139"/>
      <c r="F15" s="69"/>
      <c r="G15" s="140"/>
      <c r="H15" s="141"/>
      <c r="I15" s="142"/>
      <c r="J15" s="143"/>
      <c r="K15" s="144"/>
      <c r="L15" s="132"/>
      <c r="M15" s="144"/>
      <c r="N15" s="144"/>
    </row>
    <row r="16" spans="1:14" ht="15">
      <c r="A16" s="57">
        <v>3</v>
      </c>
      <c r="B16" s="571" t="s">
        <v>297</v>
      </c>
      <c r="C16" s="147"/>
      <c r="D16" s="147"/>
      <c r="E16" s="148" t="s">
        <v>88</v>
      </c>
      <c r="F16" s="149" t="s">
        <v>90</v>
      </c>
      <c r="G16" s="150"/>
      <c r="H16" s="163"/>
      <c r="I16" s="164"/>
      <c r="J16" s="165"/>
      <c r="K16" s="153"/>
      <c r="L16" s="132"/>
      <c r="M16" s="151" t="s">
        <v>91</v>
      </c>
      <c r="N16" s="166" t="s">
        <v>92</v>
      </c>
    </row>
    <row r="17" spans="2:14" ht="15">
      <c r="B17" s="124"/>
      <c r="C17" s="746" t="s">
        <v>105</v>
      </c>
      <c r="D17" s="747"/>
      <c r="E17" s="382">
        <f>N17*'2-Coûts des combustibles'!D$4</f>
        <v>0</v>
      </c>
      <c r="F17" s="126"/>
      <c r="G17" s="375">
        <f>F17*E17</f>
        <v>0</v>
      </c>
      <c r="H17" s="128"/>
      <c r="I17" s="158"/>
      <c r="J17" s="130"/>
      <c r="K17" s="131"/>
      <c r="L17" s="132"/>
      <c r="M17" s="383">
        <f>_xlfn.IFERROR(E17/D5,)</f>
        <v>0</v>
      </c>
      <c r="N17" s="167"/>
    </row>
    <row r="18" spans="2:14" ht="15">
      <c r="B18" s="124"/>
      <c r="C18" s="748" t="s">
        <v>89</v>
      </c>
      <c r="D18" s="749"/>
      <c r="E18" s="21"/>
      <c r="F18" s="126"/>
      <c r="G18" s="375">
        <f>F18*E18</f>
        <v>0</v>
      </c>
      <c r="H18" s="168"/>
      <c r="I18" s="161"/>
      <c r="J18" s="130"/>
      <c r="K18" s="131"/>
      <c r="L18" s="132"/>
      <c r="M18" s="169"/>
      <c r="N18" s="155"/>
    </row>
    <row r="19" spans="2:14" ht="15">
      <c r="B19" s="135"/>
      <c r="C19" s="737" t="s">
        <v>304</v>
      </c>
      <c r="D19" s="738"/>
      <c r="E19" s="24"/>
      <c r="F19" s="25"/>
      <c r="G19" s="384">
        <f>SUM(G17:G18)</f>
        <v>0</v>
      </c>
      <c r="H19" s="376">
        <f>_xlfn.IFERROR((G19/$G$48),)</f>
        <v>0</v>
      </c>
      <c r="I19" s="137">
        <v>0.016</v>
      </c>
      <c r="J19" s="170"/>
      <c r="K19" s="377">
        <f>_xlfn.IFERROR(G19/J19,)</f>
        <v>0</v>
      </c>
      <c r="L19" s="132"/>
      <c r="M19" s="169"/>
      <c r="N19" s="155"/>
    </row>
    <row r="20" spans="5:14" ht="4.5" customHeight="1">
      <c r="E20" s="139"/>
      <c r="F20" s="69"/>
      <c r="G20" s="140"/>
      <c r="H20" s="141"/>
      <c r="I20" s="142"/>
      <c r="J20" s="143"/>
      <c r="K20" s="144"/>
      <c r="L20" s="132"/>
      <c r="M20" s="144"/>
      <c r="N20" s="144"/>
    </row>
    <row r="21" spans="1:14" ht="15">
      <c r="A21" s="57">
        <v>4</v>
      </c>
      <c r="B21" s="146" t="s">
        <v>104</v>
      </c>
      <c r="C21" s="147"/>
      <c r="D21" s="147"/>
      <c r="E21" s="148" t="s">
        <v>94</v>
      </c>
      <c r="F21" s="149" t="s">
        <v>95</v>
      </c>
      <c r="G21" s="150"/>
      <c r="H21" s="163"/>
      <c r="I21" s="164"/>
      <c r="J21" s="165"/>
      <c r="K21" s="153"/>
      <c r="L21" s="132"/>
      <c r="M21" s="151"/>
      <c r="N21" s="166" t="s">
        <v>107</v>
      </c>
    </row>
    <row r="22" spans="2:17" ht="15">
      <c r="B22" s="124"/>
      <c r="C22" s="96" t="s">
        <v>105</v>
      </c>
      <c r="D22" s="96"/>
      <c r="E22" s="382">
        <f>D5</f>
        <v>0</v>
      </c>
      <c r="F22" s="385">
        <f>_xlfn.IFERROR(G22/E22,)</f>
        <v>0</v>
      </c>
      <c r="G22" s="171"/>
      <c r="H22" s="376">
        <f>_xlfn.IFERROR((G22/$G$48),)</f>
        <v>0</v>
      </c>
      <c r="I22" s="137">
        <v>0.391</v>
      </c>
      <c r="J22" s="130"/>
      <c r="K22" s="131"/>
      <c r="L22" s="132"/>
      <c r="M22" s="172"/>
      <c r="N22" s="386" t="str">
        <f>_xlfn.IFERROR(D5/'2-Coûts des combustibles'!D4*1000," ")</f>
        <v> </v>
      </c>
      <c r="P22" s="410">
        <f>150000/550</f>
        <v>272.72727272727275</v>
      </c>
      <c r="Q22" s="387"/>
    </row>
    <row r="23" spans="2:14" ht="15">
      <c r="B23" s="124"/>
      <c r="C23" s="173" t="s">
        <v>106</v>
      </c>
      <c r="D23" s="174"/>
      <c r="E23" s="21"/>
      <c r="F23" s="26">
        <v>0.04</v>
      </c>
      <c r="G23" s="375">
        <f>G22*F23</f>
        <v>0</v>
      </c>
      <c r="H23" s="376">
        <f>_xlfn.IFERROR((G23/$G$48),)</f>
        <v>0</v>
      </c>
      <c r="I23" s="388">
        <f>1.4%+1.9%</f>
        <v>0.033</v>
      </c>
      <c r="J23" s="130"/>
      <c r="K23" s="131"/>
      <c r="L23" s="132"/>
      <c r="M23" s="169"/>
      <c r="N23" s="155"/>
    </row>
    <row r="24" spans="2:14" ht="15">
      <c r="B24" s="135"/>
      <c r="C24" s="737" t="s">
        <v>304</v>
      </c>
      <c r="D24" s="738"/>
      <c r="E24" s="24"/>
      <c r="F24" s="25"/>
      <c r="G24" s="384">
        <f>SUM(G22:G23)</f>
        <v>0</v>
      </c>
      <c r="H24" s="376">
        <f>_xlfn.IFERROR((G24/$G$48),)</f>
        <v>0</v>
      </c>
      <c r="I24" s="389">
        <f>SUM(I22:I23)</f>
        <v>0.42400000000000004</v>
      </c>
      <c r="J24" s="170"/>
      <c r="K24" s="377">
        <f>_xlfn.IFERROR(G24/J24,)</f>
        <v>0</v>
      </c>
      <c r="L24" s="132"/>
      <c r="M24" s="169"/>
      <c r="N24" s="155"/>
    </row>
    <row r="25" spans="5:14" ht="4.5" customHeight="1">
      <c r="E25" s="139"/>
      <c r="F25" s="69"/>
      <c r="G25" s="140"/>
      <c r="H25" s="141"/>
      <c r="I25" s="142"/>
      <c r="J25" s="143"/>
      <c r="K25" s="144"/>
      <c r="L25" s="132"/>
      <c r="M25" s="144"/>
      <c r="N25" s="144"/>
    </row>
    <row r="26" spans="1:14" ht="15">
      <c r="A26" s="57">
        <v>5</v>
      </c>
      <c r="B26" s="22" t="s">
        <v>110</v>
      </c>
      <c r="C26" s="147"/>
      <c r="D26" s="147"/>
      <c r="E26" s="175" t="s">
        <v>20</v>
      </c>
      <c r="F26" s="176" t="s">
        <v>63</v>
      </c>
      <c r="G26" s="150"/>
      <c r="H26" s="163"/>
      <c r="I26" s="164"/>
      <c r="J26" s="165"/>
      <c r="K26" s="153"/>
      <c r="L26" s="132"/>
      <c r="M26" s="151"/>
      <c r="N26" s="166"/>
    </row>
    <row r="27" spans="2:14" ht="15">
      <c r="B27" s="124"/>
      <c r="C27" s="177" t="s">
        <v>116</v>
      </c>
      <c r="D27" s="178"/>
      <c r="E27" s="390">
        <f>0.036*D5</f>
        <v>0</v>
      </c>
      <c r="F27" s="179"/>
      <c r="G27" s="375">
        <f>F27*E27</f>
        <v>0</v>
      </c>
      <c r="H27" s="376">
        <f>_xlfn.IFERROR((G27/$G$48),)</f>
        <v>0</v>
      </c>
      <c r="I27" s="152">
        <v>0.27</v>
      </c>
      <c r="J27" s="130"/>
      <c r="K27" s="131"/>
      <c r="L27" s="132"/>
      <c r="M27" s="180"/>
      <c r="N27" s="181"/>
    </row>
    <row r="28" spans="2:14" ht="15">
      <c r="B28" s="124"/>
      <c r="C28" s="173" t="s">
        <v>111</v>
      </c>
      <c r="D28" s="174"/>
      <c r="E28" s="21"/>
      <c r="F28" s="26"/>
      <c r="G28" s="375">
        <f>F28*E28</f>
        <v>0</v>
      </c>
      <c r="H28" s="376">
        <f>_xlfn.IFERROR((G28/$G$48),)</f>
        <v>0</v>
      </c>
      <c r="I28" s="161"/>
      <c r="J28" s="130"/>
      <c r="K28" s="131"/>
      <c r="L28" s="132"/>
      <c r="M28" s="169"/>
      <c r="N28" s="155"/>
    </row>
    <row r="29" spans="2:14" ht="15">
      <c r="B29" s="135"/>
      <c r="C29" s="737" t="s">
        <v>304</v>
      </c>
      <c r="D29" s="738"/>
      <c r="E29" s="24"/>
      <c r="F29" s="25"/>
      <c r="G29" s="384">
        <f>SUM(G27:G28)</f>
        <v>0</v>
      </c>
      <c r="H29" s="376">
        <f>_xlfn.IFERROR((G29/$G$48),)</f>
        <v>0</v>
      </c>
      <c r="I29" s="391">
        <f>SUM(I27:I28)</f>
        <v>0.27</v>
      </c>
      <c r="J29" s="170"/>
      <c r="K29" s="377">
        <f>_xlfn.IFERROR(G29/J29,)</f>
        <v>0</v>
      </c>
      <c r="L29" s="132"/>
      <c r="M29" s="169"/>
      <c r="N29" s="155"/>
    </row>
    <row r="30" spans="5:14" ht="4.5" customHeight="1">
      <c r="E30" s="139"/>
      <c r="F30" s="69"/>
      <c r="G30" s="140"/>
      <c r="H30" s="141"/>
      <c r="I30" s="142"/>
      <c r="J30" s="143"/>
      <c r="K30" s="144"/>
      <c r="L30" s="132"/>
      <c r="M30" s="144"/>
      <c r="N30" s="144"/>
    </row>
    <row r="31" spans="1:14" ht="15">
      <c r="A31" s="57">
        <v>6</v>
      </c>
      <c r="B31" s="22" t="s">
        <v>172</v>
      </c>
      <c r="C31" s="147"/>
      <c r="D31" s="147"/>
      <c r="E31" s="148"/>
      <c r="F31" s="149"/>
      <c r="G31" s="150"/>
      <c r="H31" s="163"/>
      <c r="I31" s="164"/>
      <c r="J31" s="165"/>
      <c r="K31" s="153"/>
      <c r="L31" s="132"/>
      <c r="M31" s="151"/>
      <c r="N31" s="166"/>
    </row>
    <row r="32" spans="2:14" ht="15">
      <c r="B32" s="124"/>
      <c r="C32" s="96" t="s">
        <v>124</v>
      </c>
      <c r="D32" s="96"/>
      <c r="E32" s="21"/>
      <c r="F32" s="26"/>
      <c r="G32" s="171"/>
      <c r="H32" s="376">
        <f>_xlfn.IFERROR((G32/$G$48),)</f>
        <v>0</v>
      </c>
      <c r="I32" s="152"/>
      <c r="J32" s="130"/>
      <c r="K32" s="131"/>
      <c r="L32" s="132"/>
      <c r="M32" s="172"/>
      <c r="N32" s="182"/>
    </row>
    <row r="33" spans="2:18" ht="15">
      <c r="B33" s="124"/>
      <c r="C33" s="173" t="s">
        <v>114</v>
      </c>
      <c r="D33" s="174"/>
      <c r="E33" s="21"/>
      <c r="F33" s="26"/>
      <c r="G33" s="171"/>
      <c r="H33" s="376">
        <f>_xlfn.IFERROR((G33/$G$48),)</f>
        <v>0</v>
      </c>
      <c r="I33" s="161"/>
      <c r="J33" s="130"/>
      <c r="K33" s="131"/>
      <c r="L33" s="132"/>
      <c r="M33" s="169"/>
      <c r="N33" s="155"/>
      <c r="R33" s="57" t="s">
        <v>129</v>
      </c>
    </row>
    <row r="34" spans="2:14" ht="15">
      <c r="B34" s="135"/>
      <c r="C34" s="737" t="s">
        <v>304</v>
      </c>
      <c r="D34" s="738"/>
      <c r="E34" s="24"/>
      <c r="F34" s="25"/>
      <c r="G34" s="384">
        <f>SUM(G32:G33)</f>
        <v>0</v>
      </c>
      <c r="H34" s="376">
        <f>_xlfn.IFERROR((G34/$G$48),)</f>
        <v>0</v>
      </c>
      <c r="I34" s="137">
        <v>0.01</v>
      </c>
      <c r="J34" s="170"/>
      <c r="K34" s="377">
        <f>_xlfn.IFERROR(G34/J34,)</f>
        <v>0</v>
      </c>
      <c r="L34" s="132"/>
      <c r="M34" s="169"/>
      <c r="N34" s="155"/>
    </row>
    <row r="35" spans="5:14" ht="4.5" customHeight="1">
      <c r="E35" s="139"/>
      <c r="F35" s="69"/>
      <c r="G35" s="140"/>
      <c r="H35" s="141"/>
      <c r="I35" s="142"/>
      <c r="J35" s="143"/>
      <c r="K35" s="144"/>
      <c r="L35" s="132"/>
      <c r="M35" s="144"/>
      <c r="N35" s="144"/>
    </row>
    <row r="36" spans="1:14" ht="15">
      <c r="A36" s="57">
        <v>7</v>
      </c>
      <c r="B36" s="146" t="s">
        <v>112</v>
      </c>
      <c r="C36" s="147"/>
      <c r="D36" s="147"/>
      <c r="E36" s="175"/>
      <c r="F36" s="176"/>
      <c r="G36" s="150"/>
      <c r="H36" s="163"/>
      <c r="I36" s="164"/>
      <c r="J36" s="165"/>
      <c r="K36" s="153"/>
      <c r="L36" s="132"/>
      <c r="M36" s="151"/>
      <c r="N36" s="166"/>
    </row>
    <row r="37" spans="2:14" ht="15">
      <c r="B37" s="124"/>
      <c r="C37" s="177" t="s">
        <v>113</v>
      </c>
      <c r="D37" s="178"/>
      <c r="E37" s="183"/>
      <c r="F37" s="179"/>
      <c r="G37" s="171"/>
      <c r="H37" s="376">
        <f>_xlfn.IFERROR((G37/$G$48),)</f>
        <v>0</v>
      </c>
      <c r="I37" s="152"/>
      <c r="J37" s="130"/>
      <c r="K37" s="131"/>
      <c r="L37" s="132"/>
      <c r="M37" s="180"/>
      <c r="N37" s="181"/>
    </row>
    <row r="38" spans="2:14" ht="15">
      <c r="B38" s="124"/>
      <c r="C38" s="177" t="s">
        <v>114</v>
      </c>
      <c r="D38" s="178"/>
      <c r="E38" s="184"/>
      <c r="F38" s="179"/>
      <c r="G38" s="171"/>
      <c r="H38" s="185">
        <f>_xlfn.IFERROR((G38/$G$48),)</f>
        <v>0</v>
      </c>
      <c r="I38" s="161"/>
      <c r="J38" s="130"/>
      <c r="K38" s="131"/>
      <c r="L38" s="132"/>
      <c r="M38" s="180"/>
      <c r="N38" s="181"/>
    </row>
    <row r="39" spans="2:14" ht="15">
      <c r="B39" s="124"/>
      <c r="C39" s="173" t="s">
        <v>115</v>
      </c>
      <c r="D39" s="174"/>
      <c r="E39" s="27"/>
      <c r="F39" s="28"/>
      <c r="G39" s="375">
        <f>F39*E39*E17</f>
        <v>0</v>
      </c>
      <c r="H39" s="376">
        <f>_xlfn.IFERROR((G39/$G$48),)</f>
        <v>0</v>
      </c>
      <c r="I39" s="161"/>
      <c r="J39" s="130"/>
      <c r="K39" s="131"/>
      <c r="L39" s="132"/>
      <c r="M39" s="169"/>
      <c r="N39" s="155"/>
    </row>
    <row r="40" spans="2:14" ht="15">
      <c r="B40" s="135"/>
      <c r="C40" s="737" t="s">
        <v>304</v>
      </c>
      <c r="D40" s="738"/>
      <c r="E40" s="29"/>
      <c r="F40" s="30"/>
      <c r="G40" s="384">
        <f>SUM(G37:G39)</f>
        <v>0</v>
      </c>
      <c r="H40" s="376">
        <f>_xlfn.IFERROR((G40/$G$48),)</f>
        <v>0</v>
      </c>
      <c r="I40" s="391">
        <f>4.4%+1.1%</f>
        <v>0.05500000000000001</v>
      </c>
      <c r="J40" s="186"/>
      <c r="K40" s="377">
        <f>_xlfn.IFERROR(G40/J40,)</f>
        <v>0</v>
      </c>
      <c r="L40" s="132"/>
      <c r="M40" s="133"/>
      <c r="N40" s="134"/>
    </row>
    <row r="41" spans="5:14" ht="4.5" customHeight="1" thickBot="1">
      <c r="E41" s="139"/>
      <c r="F41" s="69"/>
      <c r="G41" s="140"/>
      <c r="H41" s="141"/>
      <c r="I41" s="141"/>
      <c r="J41" s="143"/>
      <c r="K41" s="144"/>
      <c r="L41" s="132"/>
      <c r="M41" s="144"/>
      <c r="N41" s="144"/>
    </row>
    <row r="42" spans="1:14" ht="15">
      <c r="A42" s="57">
        <v>8</v>
      </c>
      <c r="B42" s="146" t="s">
        <v>109</v>
      </c>
      <c r="C42" s="147"/>
      <c r="D42" s="147"/>
      <c r="E42" s="187"/>
      <c r="F42" s="141"/>
      <c r="G42" s="188"/>
      <c r="H42" s="185"/>
      <c r="I42" s="164"/>
      <c r="J42" s="165"/>
      <c r="K42" s="153"/>
      <c r="L42" s="132"/>
      <c r="M42" s="189"/>
      <c r="N42" s="190"/>
    </row>
    <row r="43" spans="2:14" ht="15">
      <c r="B43" s="124"/>
      <c r="C43" s="572" t="s">
        <v>298</v>
      </c>
      <c r="D43" s="96"/>
      <c r="E43" s="412"/>
      <c r="F43" s="31"/>
      <c r="G43" s="375">
        <f>E43*$P$45</f>
        <v>0</v>
      </c>
      <c r="H43" s="392">
        <f>_xlfn.IFERROR((G43/$G$48),)</f>
        <v>0</v>
      </c>
      <c r="I43" s="129"/>
      <c r="J43" s="130"/>
      <c r="K43" s="131"/>
      <c r="L43" s="132"/>
      <c r="M43" s="133"/>
      <c r="N43" s="134"/>
    </row>
    <row r="44" spans="2:16" ht="15">
      <c r="B44" s="124"/>
      <c r="C44" s="96" t="s">
        <v>108</v>
      </c>
      <c r="D44" s="96"/>
      <c r="E44" s="412"/>
      <c r="F44" s="31"/>
      <c r="G44" s="375">
        <f>E44*$P$45</f>
        <v>0</v>
      </c>
      <c r="H44" s="392">
        <f>_xlfn.IFERROR((G44/$G$48),)</f>
        <v>0</v>
      </c>
      <c r="I44" s="129"/>
      <c r="J44" s="130"/>
      <c r="K44" s="131"/>
      <c r="L44" s="132"/>
      <c r="M44" s="133"/>
      <c r="N44" s="134"/>
      <c r="P44" s="57" t="s">
        <v>125</v>
      </c>
    </row>
    <row r="45" spans="2:16" ht="15">
      <c r="B45" s="135"/>
      <c r="C45" s="737" t="s">
        <v>304</v>
      </c>
      <c r="D45" s="738"/>
      <c r="E45" s="24"/>
      <c r="F45" s="25"/>
      <c r="G45" s="384">
        <f>SUM(G43:G44)</f>
        <v>0</v>
      </c>
      <c r="H45" s="376">
        <f>_xlfn.IFERROR((G45/$G$48),)</f>
        <v>0</v>
      </c>
      <c r="I45" s="137">
        <v>0.056</v>
      </c>
      <c r="J45" s="170"/>
      <c r="K45" s="377">
        <f>_xlfn.IFERROR(G45/J45,)</f>
        <v>0</v>
      </c>
      <c r="L45" s="132"/>
      <c r="M45" s="169"/>
      <c r="N45" s="155"/>
      <c r="P45" s="393">
        <f>G24+G19+G14+G9+G29+G40+G34</f>
        <v>0</v>
      </c>
    </row>
    <row r="46" spans="5:14" ht="4.5" customHeight="1">
      <c r="E46" s="139"/>
      <c r="F46" s="69"/>
      <c r="G46" s="140"/>
      <c r="H46" s="141"/>
      <c r="I46" s="141"/>
      <c r="J46" s="143"/>
      <c r="K46" s="144"/>
      <c r="L46" s="132"/>
      <c r="M46" s="144"/>
      <c r="N46" s="144"/>
    </row>
    <row r="47" spans="2:14" s="32" customFormat="1" ht="15">
      <c r="B47" s="741" t="s">
        <v>128</v>
      </c>
      <c r="C47" s="742"/>
      <c r="D47" s="743"/>
      <c r="E47" s="33"/>
      <c r="F47" s="34" t="s">
        <v>95</v>
      </c>
      <c r="G47" s="35" t="s">
        <v>35</v>
      </c>
      <c r="H47" s="36"/>
      <c r="I47" s="37"/>
      <c r="J47" s="38"/>
      <c r="K47" s="39"/>
      <c r="L47" s="40"/>
      <c r="M47" s="36" t="s">
        <v>63</v>
      </c>
      <c r="N47" s="37" t="s">
        <v>96</v>
      </c>
    </row>
    <row r="48" spans="2:14" s="32" customFormat="1" ht="15">
      <c r="B48" s="41"/>
      <c r="C48" s="573" t="s">
        <v>299</v>
      </c>
      <c r="D48" s="42"/>
      <c r="E48" s="394"/>
      <c r="F48" s="395">
        <f>_xlfn.IFERROR(G48/D$5,)</f>
        <v>0</v>
      </c>
      <c r="G48" s="396">
        <f>G45+G40+G24+G29+G19+G14+G9+G34</f>
        <v>0</v>
      </c>
      <c r="H48" s="397">
        <f>(+H45+H40+H34+H29+H24+H19+H14+H9)*100</f>
        <v>0</v>
      </c>
      <c r="I48" s="398">
        <f>+I45+I40+I34+I29+I24+I19+I14+I9</f>
        <v>1.0000000000000002</v>
      </c>
      <c r="J48" s="399" t="str">
        <f>_xlfn.IFERROR(G48/K48," ")</f>
        <v> </v>
      </c>
      <c r="K48" s="400">
        <f>SUM(K9:K45)</f>
        <v>0</v>
      </c>
      <c r="L48" s="40"/>
      <c r="M48" s="401">
        <f>_xlfn.IFERROR(G48/'2-Coûts des combustibles'!D$4,)</f>
        <v>0</v>
      </c>
      <c r="N48" s="402">
        <f>_xlfn.IFERROR(G48/'2-Coûts des combustibles'!D$10,)</f>
        <v>0</v>
      </c>
    </row>
    <row r="49" spans="5:14" ht="4.5" customHeight="1">
      <c r="E49" s="139"/>
      <c r="F49" s="69"/>
      <c r="G49" s="140"/>
      <c r="H49" s="141"/>
      <c r="I49" s="191"/>
      <c r="J49" s="192"/>
      <c r="K49" s="144"/>
      <c r="L49" s="132"/>
      <c r="M49" s="144"/>
      <c r="N49" s="144"/>
    </row>
    <row r="50" spans="1:14" ht="15">
      <c r="A50" s="57">
        <v>9</v>
      </c>
      <c r="B50" s="739" t="s">
        <v>127</v>
      </c>
      <c r="C50" s="740"/>
      <c r="D50" s="740"/>
      <c r="E50" s="601"/>
      <c r="F50" s="193"/>
      <c r="G50" s="602"/>
      <c r="H50" s="403">
        <f>_xlfn.IFERROR(G50/G48,)</f>
        <v>0</v>
      </c>
      <c r="I50" s="194"/>
      <c r="J50" s="143"/>
      <c r="K50" s="195"/>
      <c r="L50" s="132"/>
      <c r="M50" s="145"/>
      <c r="N50" s="145"/>
    </row>
    <row r="51" spans="5:14" ht="4.5" customHeight="1" thickBot="1">
      <c r="E51" s="196"/>
      <c r="F51" s="197"/>
      <c r="G51" s="198"/>
      <c r="H51" s="191"/>
      <c r="I51" s="199"/>
      <c r="J51" s="132"/>
      <c r="K51" s="144"/>
      <c r="L51" s="132"/>
      <c r="M51" s="144"/>
      <c r="N51" s="144"/>
    </row>
    <row r="52" spans="2:14" ht="15" customHeight="1" thickBot="1">
      <c r="B52" s="744" t="s">
        <v>335</v>
      </c>
      <c r="C52" s="745"/>
      <c r="D52" s="745"/>
      <c r="E52" s="43"/>
      <c r="F52" s="404">
        <f>_xlfn.IFERROR(G52/D$5,)</f>
        <v>0</v>
      </c>
      <c r="G52" s="405">
        <f>G48-G50</f>
        <v>0</v>
      </c>
      <c r="H52" s="406">
        <f>_xlfn.IFERROR((G52/$G$48),)</f>
        <v>0</v>
      </c>
      <c r="I52" s="200"/>
      <c r="J52" s="201"/>
      <c r="K52" s="407">
        <f>(1-H50)*K48</f>
        <v>0</v>
      </c>
      <c r="L52" s="132"/>
      <c r="M52" s="408">
        <f>_xlfn.IFERROR(G52/'2-Coûts des combustibles'!D$4,)</f>
        <v>0</v>
      </c>
      <c r="N52" s="409">
        <f>_xlfn.IFERROR(G52/'2-Coûts des combustibles'!D$10,)</f>
        <v>0</v>
      </c>
    </row>
    <row r="53" spans="2:4" ht="4.5" customHeight="1">
      <c r="B53" s="144"/>
      <c r="C53" s="144"/>
      <c r="D53" s="144"/>
    </row>
    <row r="54" spans="1:14" ht="15">
      <c r="A54" s="57">
        <v>10</v>
      </c>
      <c r="B54" s="751" t="s">
        <v>332</v>
      </c>
      <c r="C54" s="752"/>
      <c r="D54" s="752"/>
      <c r="E54" s="604" t="s">
        <v>334</v>
      </c>
      <c r="F54" s="614">
        <f>'5-Évaluation économique'!J6</f>
        <v>0</v>
      </c>
      <c r="G54" s="615">
        <f>'5-Évaluation économique'!J9</f>
        <v>0</v>
      </c>
      <c r="H54" s="605">
        <f>_xlfn.IFERROR((G54/$G$48),)</f>
        <v>0</v>
      </c>
      <c r="I54" s="616"/>
      <c r="J54" s="617" t="str">
        <f>J48</f>
        <v> </v>
      </c>
      <c r="K54" s="377">
        <f>_xlfn.IFERROR(G54/J54,)</f>
        <v>0</v>
      </c>
      <c r="L54" s="618"/>
      <c r="M54" s="619">
        <f>'5-Évaluation économique'!J7</f>
        <v>0</v>
      </c>
      <c r="N54" s="620">
        <f>'5-Évaluation économique'!J5</f>
        <v>0</v>
      </c>
    </row>
    <row r="55" spans="2:14" ht="4.5" customHeight="1" thickBot="1">
      <c r="B55" s="606"/>
      <c r="C55" s="607"/>
      <c r="D55" s="607"/>
      <c r="E55" s="608"/>
      <c r="F55" s="621"/>
      <c r="G55" s="622"/>
      <c r="H55" s="609"/>
      <c r="I55" s="623"/>
      <c r="J55" s="618"/>
      <c r="K55" s="610"/>
      <c r="L55" s="618"/>
      <c r="M55" s="624"/>
      <c r="N55" s="625"/>
    </row>
    <row r="56" spans="2:14" ht="30" customHeight="1" thickBot="1">
      <c r="B56" s="753" t="s">
        <v>333</v>
      </c>
      <c r="C56" s="754"/>
      <c r="D56" s="755"/>
      <c r="E56" s="611"/>
      <c r="F56" s="612"/>
      <c r="G56" s="405">
        <f>+G54+G52</f>
        <v>0</v>
      </c>
      <c r="H56" s="613" t="str">
        <f>_xlfn.IFERROR(G56/G$48," ")</f>
        <v> </v>
      </c>
      <c r="I56" s="626"/>
      <c r="J56" s="627" t="str">
        <f>J48</f>
        <v> </v>
      </c>
      <c r="K56" s="407">
        <f>+K54+K52</f>
        <v>0</v>
      </c>
      <c r="L56" s="618"/>
      <c r="M56" s="408">
        <f>_xlfn.IFERROR(G56/'2-Coûts des combustibles'!D$4,)</f>
        <v>0</v>
      </c>
      <c r="N56" s="409">
        <f>_xlfn.IFERROR(G56/'2-Coûts des combustibles'!D$10,)</f>
        <v>0</v>
      </c>
    </row>
    <row r="57" spans="2:14" ht="15">
      <c r="B57" s="202" t="s">
        <v>102</v>
      </c>
      <c r="C57" s="574" t="s">
        <v>301</v>
      </c>
      <c r="D57" s="58"/>
      <c r="E57" s="58"/>
      <c r="F57" s="58"/>
      <c r="G57" s="58"/>
      <c r="H57" s="58"/>
      <c r="I57" s="58"/>
      <c r="J57" s="58"/>
      <c r="L57" s="177"/>
      <c r="M57" s="58"/>
      <c r="N57" s="58"/>
    </row>
    <row r="58" spans="2:11" ht="15">
      <c r="B58" s="413" t="s">
        <v>224</v>
      </c>
      <c r="C58" s="733" t="s">
        <v>300</v>
      </c>
      <c r="D58" s="734"/>
      <c r="E58" s="734"/>
      <c r="F58" s="734"/>
      <c r="G58" s="734"/>
      <c r="H58" s="734"/>
      <c r="I58" s="734"/>
      <c r="J58" s="734"/>
      <c r="K58" s="734"/>
    </row>
    <row r="59" spans="2:11" ht="15">
      <c r="B59" s="413" t="s">
        <v>225</v>
      </c>
      <c r="C59" s="733" t="s">
        <v>302</v>
      </c>
      <c r="D59" s="734"/>
      <c r="E59" s="734"/>
      <c r="F59" s="734"/>
      <c r="G59" s="734"/>
      <c r="H59" s="734"/>
      <c r="I59" s="734"/>
      <c r="J59" s="734"/>
      <c r="K59" s="734"/>
    </row>
  </sheetData>
  <sheetProtection sheet="1" objects="1" scenarios="1"/>
  <mergeCells count="22">
    <mergeCell ref="B3:J3"/>
    <mergeCell ref="B54:D54"/>
    <mergeCell ref="B56:D56"/>
    <mergeCell ref="B4:C4"/>
    <mergeCell ref="C14:D14"/>
    <mergeCell ref="C13:D13"/>
    <mergeCell ref="C12:D12"/>
    <mergeCell ref="B5:C5"/>
    <mergeCell ref="C58:K58"/>
    <mergeCell ref="C59:K59"/>
    <mergeCell ref="M6:N6"/>
    <mergeCell ref="C24:D24"/>
    <mergeCell ref="C29:D29"/>
    <mergeCell ref="C34:D34"/>
    <mergeCell ref="C40:D40"/>
    <mergeCell ref="C45:D45"/>
    <mergeCell ref="B50:D50"/>
    <mergeCell ref="B47:D47"/>
    <mergeCell ref="B52:D52"/>
    <mergeCell ref="C17:D17"/>
    <mergeCell ref="C18:D18"/>
    <mergeCell ref="C19:D19"/>
  </mergeCells>
  <hyperlinks>
    <hyperlink ref="A1" location="Notes!B18" display="X"/>
  </hyperlinks>
  <printOptions/>
  <pageMargins left="0.7086614173228347" right="0.7086614173228347" top="0.7480314960629921" bottom="0.7480314960629921" header="0.31496062992125984" footer="0.31496062992125984"/>
  <pageSetup fitToHeight="1" fitToWidth="1" orientation="landscape" scale="77" r:id="rId3"/>
  <ignoredErrors>
    <ignoredError sqref="F14" formula="1"/>
    <ignoredError sqref="K8 E9 F54:G54 J54 J56 M54:N54" unlockedFormula="1"/>
  </ignoredErrors>
  <legacyDrawing r:id="rId2"/>
</worksheet>
</file>

<file path=xl/worksheets/sheet6.xml><?xml version="1.0" encoding="utf-8"?>
<worksheet xmlns="http://schemas.openxmlformats.org/spreadsheetml/2006/main" xmlns:r="http://schemas.openxmlformats.org/officeDocument/2006/relationships">
  <dimension ref="A1:K45"/>
  <sheetViews>
    <sheetView showGridLines="0" showZeros="0" zoomScalePageLayoutView="0" workbookViewId="0" topLeftCell="A1">
      <pane ySplit="1" topLeftCell="A2" activePane="bottomLeft" state="frozen"/>
      <selection pane="topLeft" activeCell="A1" sqref="A1"/>
      <selection pane="bottomLeft" activeCell="B2" sqref="B2"/>
    </sheetView>
  </sheetViews>
  <sheetFormatPr defaultColWidth="11.421875" defaultRowHeight="15"/>
  <cols>
    <col min="1" max="1" width="4.28125" style="8" customWidth="1"/>
    <col min="2" max="2" width="43.57421875" style="8" customWidth="1"/>
    <col min="3" max="4" width="10.7109375" style="8" customWidth="1"/>
    <col min="5" max="5" width="9.8515625" style="8" customWidth="1"/>
    <col min="6" max="6" width="11.421875" style="8" customWidth="1"/>
    <col min="7" max="7" width="9.8515625" style="8" customWidth="1"/>
    <col min="8" max="8" width="18.00390625" style="8" customWidth="1"/>
    <col min="9" max="9" width="11.421875" style="8" customWidth="1"/>
    <col min="10" max="10" width="13.7109375" style="8" customWidth="1"/>
    <col min="11" max="16384" width="11.421875" style="8" customWidth="1"/>
  </cols>
  <sheetData>
    <row r="1" spans="1:6" s="218" customFormat="1" ht="19.5" thickBot="1">
      <c r="A1" s="461" t="s">
        <v>243</v>
      </c>
      <c r="B1" s="561" t="s">
        <v>279</v>
      </c>
      <c r="F1" s="248"/>
    </row>
    <row r="2" spans="1:6" s="218" customFormat="1" ht="18.75">
      <c r="A2" s="561"/>
      <c r="B2" s="561"/>
      <c r="F2" s="248"/>
    </row>
    <row r="3" spans="6:10" s="218" customFormat="1" ht="15.75" thickBot="1">
      <c r="F3" s="248"/>
      <c r="G3" s="776" t="s">
        <v>309</v>
      </c>
      <c r="H3" s="776"/>
      <c r="I3" s="776"/>
      <c r="J3" s="776"/>
    </row>
    <row r="4" spans="2:10" ht="15.75" thickBot="1">
      <c r="B4" s="5" t="s">
        <v>336</v>
      </c>
      <c r="G4" s="773" t="s">
        <v>138</v>
      </c>
      <c r="H4" s="774"/>
      <c r="I4" s="775"/>
      <c r="J4" s="585"/>
    </row>
    <row r="5" spans="2:10" ht="15.75" thickBot="1">
      <c r="B5" s="46" t="s">
        <v>47</v>
      </c>
      <c r="C5" s="50" t="s">
        <v>103</v>
      </c>
      <c r="D5" s="47" t="s">
        <v>132</v>
      </c>
      <c r="E5" s="48" t="s">
        <v>85</v>
      </c>
      <c r="G5" s="762" t="s">
        <v>137</v>
      </c>
      <c r="H5" s="763"/>
      <c r="I5" s="764"/>
      <c r="J5" s="586">
        <f>J4*'4-Investissents'!G52</f>
        <v>0</v>
      </c>
    </row>
    <row r="6" spans="2:10" ht="15">
      <c r="B6" s="214" t="s">
        <v>27</v>
      </c>
      <c r="C6" s="437">
        <f>'2-Coûts des combustibles'!D18</f>
        <v>0</v>
      </c>
      <c r="D6" s="439" t="str">
        <f>_xlfn.IFERROR(C6/'2-Coûts des combustibles'!D$4," ")</f>
        <v> </v>
      </c>
      <c r="E6" s="438">
        <f>_xlfn.IFERROR(D6/$D$10*100,)</f>
        <v>0</v>
      </c>
      <c r="G6" s="762" t="s">
        <v>310</v>
      </c>
      <c r="H6" s="763"/>
      <c r="I6" s="764"/>
      <c r="J6" s="587"/>
    </row>
    <row r="7" spans="2:10" ht="15">
      <c r="B7" s="581" t="s">
        <v>314</v>
      </c>
      <c r="C7" s="425">
        <f>'3-Frais de fonctionnement'!I10</f>
        <v>0</v>
      </c>
      <c r="D7" s="439" t="str">
        <f>_xlfn.IFERROR(C7/'2-Coûts des combustibles'!D$4," ")</f>
        <v> </v>
      </c>
      <c r="E7" s="440">
        <f>_xlfn.IFERROR(D7/$D$10*100,)</f>
        <v>0</v>
      </c>
      <c r="G7" s="762" t="s">
        <v>311</v>
      </c>
      <c r="H7" s="763"/>
      <c r="I7" s="764"/>
      <c r="J7" s="588"/>
    </row>
    <row r="8" spans="2:10" ht="15.75" thickBot="1">
      <c r="B8" s="76" t="s">
        <v>133</v>
      </c>
      <c r="C8" s="425">
        <f>'4-Investissents'!K48</f>
        <v>0</v>
      </c>
      <c r="D8" s="439" t="str">
        <f>_xlfn.IFERROR(C8/'2-Coûts des combustibles'!D$4," ")</f>
        <v> </v>
      </c>
      <c r="E8" s="440">
        <f>_xlfn.IFERROR(D8/$D$10*100,)</f>
        <v>0</v>
      </c>
      <c r="G8" s="762" t="s">
        <v>139</v>
      </c>
      <c r="H8" s="763"/>
      <c r="I8" s="764"/>
      <c r="J8" s="589" t="str">
        <f>_xlfn.IFERROR(-PMT(J6,J7,J5)," ")</f>
        <v> </v>
      </c>
    </row>
    <row r="9" spans="2:10" ht="32.25" customHeight="1" thickBot="1">
      <c r="B9" s="472" t="s">
        <v>330</v>
      </c>
      <c r="C9" s="441" t="str">
        <f>_xlfn.IFERROR(J9/'4-Investissents'!J48," ")</f>
        <v> </v>
      </c>
      <c r="D9" s="442" t="str">
        <f>_xlfn.IFERROR(C9/'2-Coûts des combustibles'!D$4," ")</f>
        <v> </v>
      </c>
      <c r="E9" s="443">
        <f>_xlfn.IFERROR(D9/$D$10*100,)</f>
        <v>0</v>
      </c>
      <c r="G9" s="765" t="s">
        <v>234</v>
      </c>
      <c r="H9" s="766"/>
      <c r="I9" s="767"/>
      <c r="J9" s="590">
        <f>_xlfn.IFERROR(J8*J7-J5,)</f>
        <v>0</v>
      </c>
    </row>
    <row r="10" spans="2:5" ht="15.75" thickBot="1">
      <c r="B10" s="49" t="s">
        <v>134</v>
      </c>
      <c r="C10" s="444">
        <f>SUM(C6:C9)</f>
        <v>0</v>
      </c>
      <c r="D10" s="445" t="str">
        <f>_xlfn.IFERROR(C10/'2-Coûts des combustibles'!D$4," ")</f>
        <v> </v>
      </c>
      <c r="E10" s="446">
        <f>_xlfn.IFERROR(D10/$D$10*100,)</f>
        <v>0</v>
      </c>
    </row>
    <row r="11" ht="4.5" customHeight="1" thickBot="1"/>
    <row r="12" spans="2:4" ht="15.75" thickBot="1">
      <c r="B12" s="46" t="s">
        <v>135</v>
      </c>
      <c r="C12" s="447" t="str">
        <f>_xlfn.IFERROR(C10/'2-Coûts des combustibles'!D10," ")</f>
        <v> </v>
      </c>
      <c r="D12" s="51" t="s">
        <v>96</v>
      </c>
    </row>
    <row r="13" spans="2:4" ht="15">
      <c r="B13" s="768"/>
      <c r="C13" s="768"/>
      <c r="D13" s="768"/>
    </row>
    <row r="14" spans="2:5" ht="27.75" customHeight="1" thickBot="1">
      <c r="B14" s="759" t="s">
        <v>338</v>
      </c>
      <c r="C14" s="760"/>
      <c r="D14" s="760"/>
      <c r="E14" s="387"/>
    </row>
    <row r="15" spans="2:5" ht="15.75" thickBot="1">
      <c r="B15" s="628" t="s">
        <v>47</v>
      </c>
      <c r="C15" s="629" t="s">
        <v>103</v>
      </c>
      <c r="D15" s="630" t="s">
        <v>132</v>
      </c>
      <c r="E15" s="387"/>
    </row>
    <row r="16" spans="2:5" ht="15.75" customHeight="1">
      <c r="B16" s="631" t="s">
        <v>339</v>
      </c>
      <c r="C16" s="437">
        <f>'2-Coûts des combustibles'!C18</f>
        <v>0</v>
      </c>
      <c r="D16" s="632" t="str">
        <f>_xlfn.IFERROR(C16/'2-Coûts des combustibles'!D$4," ")</f>
        <v> </v>
      </c>
      <c r="E16" s="387"/>
    </row>
    <row r="17" spans="2:5" ht="15.75" thickBot="1">
      <c r="B17" s="633" t="s">
        <v>340</v>
      </c>
      <c r="C17" s="427">
        <f>'3-Frais de fonctionnement'!H10</f>
        <v>0</v>
      </c>
      <c r="D17" s="428" t="str">
        <f>_xlfn.IFERROR(C17/'2-Coûts des combustibles'!D$4," ")</f>
        <v> </v>
      </c>
      <c r="E17" s="387"/>
    </row>
    <row r="18" spans="2:5" ht="15">
      <c r="B18" s="634" t="s">
        <v>341</v>
      </c>
      <c r="C18" s="635">
        <f>SUM(C16:C17)</f>
        <v>0</v>
      </c>
      <c r="D18" s="636" t="str">
        <f>_xlfn.IFERROR(C18/'2-Coûts des combustibles'!D$4," ")</f>
        <v> </v>
      </c>
      <c r="E18" s="387"/>
    </row>
    <row r="19" spans="2:5" ht="15" customHeight="1" thickBot="1">
      <c r="B19" s="637" t="s">
        <v>342</v>
      </c>
      <c r="C19" s="441">
        <f>C10</f>
        <v>0</v>
      </c>
      <c r="D19" s="638" t="str">
        <f>_xlfn.IFERROR(C19/'2-Coûts des combustibles'!D$4," ")</f>
        <v> </v>
      </c>
      <c r="E19" s="387"/>
    </row>
    <row r="20" spans="2:5" ht="15.75" thickBot="1">
      <c r="B20" s="639" t="s">
        <v>343</v>
      </c>
      <c r="C20" s="444">
        <f>C18-C19</f>
        <v>0</v>
      </c>
      <c r="D20" s="640" t="str">
        <f>_xlfn.IFERROR(C20/'2-Coûts des combustibles'!D$4," ")</f>
        <v> </v>
      </c>
      <c r="E20" s="387"/>
    </row>
    <row r="21" spans="2:6" s="218" customFormat="1" ht="15.75" thickBot="1">
      <c r="B21" s="641" t="s">
        <v>344</v>
      </c>
      <c r="C21" s="642" t="str">
        <f>_xlfn.IFERROR(C20/C18," ")</f>
        <v> </v>
      </c>
      <c r="F21" s="248"/>
    </row>
    <row r="22" spans="2:4" ht="15">
      <c r="B22" s="599"/>
      <c r="C22" s="599"/>
      <c r="D22" s="599"/>
    </row>
    <row r="23" spans="2:4" ht="15.75" thickBot="1">
      <c r="B23" s="768" t="s">
        <v>337</v>
      </c>
      <c r="C23" s="768"/>
      <c r="D23" s="768"/>
    </row>
    <row r="24" spans="3:4" ht="15.75" thickBot="1">
      <c r="C24" s="203" t="s">
        <v>103</v>
      </c>
      <c r="D24" s="204" t="s">
        <v>132</v>
      </c>
    </row>
    <row r="25" spans="2:4" ht="30" customHeight="1">
      <c r="B25" s="575" t="s">
        <v>305</v>
      </c>
      <c r="C25" s="425">
        <f>'2-Coûts des combustibles'!D19</f>
        <v>0</v>
      </c>
      <c r="D25" s="426" t="str">
        <f>_xlfn.IFERROR(C25/'2-Coûts des combustibles'!D$4," ")</f>
        <v> </v>
      </c>
    </row>
    <row r="26" spans="2:4" ht="30" customHeight="1" thickBot="1">
      <c r="B26" s="580" t="s">
        <v>313</v>
      </c>
      <c r="C26" s="427">
        <f>'3-Frais de fonctionnement'!J10</f>
        <v>0</v>
      </c>
      <c r="D26" s="428" t="str">
        <f>_xlfn.IFERROR(C26/'2-Coûts des combustibles'!D$4," ")</f>
        <v> </v>
      </c>
    </row>
    <row r="27" spans="2:5" ht="30" customHeight="1" thickBot="1">
      <c r="B27" s="576" t="s">
        <v>312</v>
      </c>
      <c r="C27" s="429">
        <f>C25-C26</f>
        <v>0</v>
      </c>
      <c r="D27" s="430" t="str">
        <f>_xlfn.IFERROR(C27/'2-Coûts des combustibles'!D$4," ")</f>
        <v> </v>
      </c>
      <c r="E27" s="205"/>
    </row>
    <row r="28" ht="6" customHeight="1" thickBot="1">
      <c r="D28" s="206"/>
    </row>
    <row r="29" spans="2:4" s="207" customFormat="1" ht="15">
      <c r="B29" s="577" t="s">
        <v>306</v>
      </c>
      <c r="C29" s="431">
        <f>'4-Investissents'!G48</f>
        <v>0</v>
      </c>
      <c r="D29" s="432" t="str">
        <f>_xlfn.IFERROR(C29/'2-Coûts des combustibles'!D$4," ")</f>
        <v> </v>
      </c>
    </row>
    <row r="30" spans="2:4" s="207" customFormat="1" ht="15.75" thickBot="1">
      <c r="B30" s="208" t="s">
        <v>130</v>
      </c>
      <c r="C30" s="433">
        <f>'4-Investissents'!G52</f>
        <v>0</v>
      </c>
      <c r="D30" s="434" t="str">
        <f>_xlfn.IFERROR(C30/'2-Coûts des combustibles'!D$4," ")</f>
        <v> </v>
      </c>
    </row>
    <row r="31" ht="6" customHeight="1"/>
    <row r="32" spans="2:3" ht="15">
      <c r="B32" s="209" t="s">
        <v>131</v>
      </c>
      <c r="C32" s="435" t="str">
        <f>_xlfn.IFERROR(C29/C$27," ")</f>
        <v> </v>
      </c>
    </row>
    <row r="33" spans="2:3" ht="15.75" thickBot="1">
      <c r="B33" s="210" t="s">
        <v>173</v>
      </c>
      <c r="C33" s="436" t="str">
        <f>_xlfn.IFERROR(C30/C$27," ")</f>
        <v> </v>
      </c>
    </row>
    <row r="35" spans="2:5" ht="15.75" thickBot="1">
      <c r="B35" s="600" t="s">
        <v>346</v>
      </c>
      <c r="C35" s="600"/>
      <c r="D35" s="600"/>
      <c r="E35" s="643"/>
    </row>
    <row r="36" spans="2:5" ht="15">
      <c r="B36" s="644" t="s">
        <v>347</v>
      </c>
      <c r="C36" s="645">
        <f>'4-Investissents'!G52</f>
        <v>0</v>
      </c>
      <c r="D36" s="387"/>
      <c r="E36" s="387"/>
    </row>
    <row r="37" spans="2:5" ht="15">
      <c r="B37" s="646" t="s">
        <v>348</v>
      </c>
      <c r="C37" s="647" t="e">
        <f>C20+C9</f>
        <v>#VALUE!</v>
      </c>
      <c r="D37" s="387"/>
      <c r="E37" s="387"/>
    </row>
    <row r="38" spans="2:5" ht="15.75" thickBot="1">
      <c r="B38" s="648" t="s">
        <v>349</v>
      </c>
      <c r="C38" s="649" t="e">
        <f>C37/C36</f>
        <v>#VALUE!</v>
      </c>
      <c r="D38" s="387"/>
      <c r="E38" s="387"/>
    </row>
    <row r="39" ht="15">
      <c r="K39" s="211"/>
    </row>
    <row r="40" spans="2:11" ht="15.75" thickBot="1">
      <c r="B40" s="761" t="s">
        <v>345</v>
      </c>
      <c r="C40" s="761"/>
      <c r="D40" s="761"/>
      <c r="E40" s="387"/>
      <c r="K40" s="211"/>
    </row>
    <row r="41" spans="3:11" ht="15.75" thickBot="1">
      <c r="C41" s="212" t="s">
        <v>103</v>
      </c>
      <c r="D41" s="213" t="s">
        <v>132</v>
      </c>
      <c r="K41" s="211"/>
    </row>
    <row r="42" spans="2:11" ht="15">
      <c r="B42" s="73" t="s">
        <v>136</v>
      </c>
      <c r="C42" s="473"/>
      <c r="D42" s="432" t="str">
        <f>_xlfn.IFERROR(C42/'2-Coûts des combustibles'!D$4," ")</f>
        <v> </v>
      </c>
      <c r="K42" s="211"/>
    </row>
    <row r="43" ht="3.75" customHeight="1">
      <c r="K43" s="211"/>
    </row>
    <row r="44" spans="2:11" ht="30">
      <c r="B44" s="578" t="s">
        <v>307</v>
      </c>
      <c r="C44" s="769" t="str">
        <f>_xlfn.IFERROR(D29/D42," ")</f>
        <v> </v>
      </c>
      <c r="D44" s="770"/>
      <c r="I44"/>
      <c r="K44" s="211"/>
    </row>
    <row r="45" spans="2:4" ht="30.75" customHeight="1" thickBot="1">
      <c r="B45" s="579" t="s">
        <v>308</v>
      </c>
      <c r="C45" s="771" t="str">
        <f>_xlfn.IFERROR(D30/D42," ")</f>
        <v> </v>
      </c>
      <c r="D45" s="772"/>
    </row>
  </sheetData>
  <sheetProtection sheet="1" objects="1" scenarios="1"/>
  <mergeCells count="13">
    <mergeCell ref="C44:D44"/>
    <mergeCell ref="C45:D45"/>
    <mergeCell ref="G4:I4"/>
    <mergeCell ref="G3:J3"/>
    <mergeCell ref="B14:D14"/>
    <mergeCell ref="B40:D40"/>
    <mergeCell ref="G5:I5"/>
    <mergeCell ref="G6:I6"/>
    <mergeCell ref="G7:I7"/>
    <mergeCell ref="G8:I8"/>
    <mergeCell ref="G9:I9"/>
    <mergeCell ref="B23:D23"/>
    <mergeCell ref="B13:D13"/>
  </mergeCells>
  <hyperlinks>
    <hyperlink ref="A1" location="Notes!B18" display="X"/>
  </hyperlinks>
  <printOptions/>
  <pageMargins left="0.7086614173228347" right="0.7086614173228347" top="0.7480314960629921" bottom="0.7480314960629921" header="0.31496062992125984" footer="0.31496062992125984"/>
  <pageSetup orientation="portrait" r:id="rId1"/>
  <headerFooter>
    <oddFooter>&amp;L&amp;F&amp;R&amp;D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2"/>
  <sheetViews>
    <sheetView showGridLines="0" zoomScale="90" zoomScaleNormal="90" zoomScalePageLayoutView="0" workbookViewId="0" topLeftCell="A1">
      <pane ySplit="2" topLeftCell="A3" activePane="bottomLeft" state="frozen"/>
      <selection pane="topLeft" activeCell="A1" sqref="A1"/>
      <selection pane="bottomLeft" activeCell="A2" sqref="A2"/>
    </sheetView>
  </sheetViews>
  <sheetFormatPr defaultColWidth="11.421875" defaultRowHeight="15"/>
  <cols>
    <col min="1" max="1" width="4.28125" style="298" customWidth="1"/>
    <col min="2" max="2" width="27.57421875" style="298" bestFit="1" customWidth="1"/>
    <col min="3" max="3" width="15.00390625" style="297" customWidth="1"/>
    <col min="4" max="5" width="15.00390625" style="298" customWidth="1"/>
    <col min="6" max="6" width="15.00390625" style="297" customWidth="1"/>
    <col min="7" max="7" width="18.57421875" style="298" customWidth="1"/>
    <col min="8" max="16384" width="11.421875" style="298" customWidth="1"/>
  </cols>
  <sheetData>
    <row r="1" spans="1:6" s="218" customFormat="1" ht="19.5" thickBot="1">
      <c r="A1" s="461" t="s">
        <v>243</v>
      </c>
      <c r="B1" s="464" t="s">
        <v>244</v>
      </c>
      <c r="F1" s="248"/>
    </row>
    <row r="2" s="218" customFormat="1" ht="12.75">
      <c r="F2" s="248"/>
    </row>
    <row r="3" ht="15">
      <c r="B3" s="296" t="s">
        <v>140</v>
      </c>
    </row>
    <row r="4" ht="15">
      <c r="B4" s="298" t="s">
        <v>141</v>
      </c>
    </row>
    <row r="5" spans="2:8" ht="15">
      <c r="B5" s="299" t="s">
        <v>184</v>
      </c>
      <c r="G5" s="297"/>
      <c r="H5" s="297"/>
    </row>
    <row r="6" ht="6.75" customHeight="1" thickBot="1"/>
    <row r="7" spans="2:10" ht="15">
      <c r="B7" s="300"/>
      <c r="C7" s="301"/>
      <c r="D7" s="302" t="s">
        <v>142</v>
      </c>
      <c r="E7" s="303" t="s">
        <v>143</v>
      </c>
      <c r="F7" s="778" t="s">
        <v>182</v>
      </c>
      <c r="G7" s="779"/>
      <c r="I7" s="297"/>
      <c r="J7" s="297"/>
    </row>
    <row r="8" spans="2:7" ht="15.75" thickBot="1">
      <c r="B8" s="304" t="s">
        <v>42</v>
      </c>
      <c r="C8" s="305" t="s">
        <v>46</v>
      </c>
      <c r="D8" s="306" t="s">
        <v>144</v>
      </c>
      <c r="E8" s="307" t="s">
        <v>144</v>
      </c>
      <c r="F8" s="308" t="s">
        <v>144</v>
      </c>
      <c r="G8" s="309" t="s">
        <v>183</v>
      </c>
    </row>
    <row r="9" spans="2:7" s="316" customFormat="1" ht="15">
      <c r="B9" s="310" t="s">
        <v>34</v>
      </c>
      <c r="C9" s="311" t="s">
        <v>40</v>
      </c>
      <c r="D9" s="312">
        <v>3.6</v>
      </c>
      <c r="E9" s="313">
        <v>3.6</v>
      </c>
      <c r="F9" s="314">
        <f>D9-E9</f>
        <v>0</v>
      </c>
      <c r="G9" s="315">
        <f>F9/D9</f>
        <v>0</v>
      </c>
    </row>
    <row r="10" spans="2:8" s="316" customFormat="1" ht="15">
      <c r="B10" s="317" t="s">
        <v>2</v>
      </c>
      <c r="C10" s="318" t="s">
        <v>145</v>
      </c>
      <c r="D10" s="319">
        <v>37.89</v>
      </c>
      <c r="E10" s="320">
        <f>D10*0.9</f>
        <v>34.101</v>
      </c>
      <c r="F10" s="321">
        <f>D10-E10</f>
        <v>3.7890000000000015</v>
      </c>
      <c r="G10" s="322">
        <f>F10/D10</f>
        <v>0.10000000000000003</v>
      </c>
      <c r="H10" s="323"/>
    </row>
    <row r="11" spans="2:7" s="316" customFormat="1" ht="15">
      <c r="B11" s="317" t="s">
        <v>146</v>
      </c>
      <c r="C11" s="318" t="s">
        <v>147</v>
      </c>
      <c r="D11" s="319">
        <v>38.8</v>
      </c>
      <c r="E11" s="324">
        <f>D11*0.94</f>
        <v>36.471999999999994</v>
      </c>
      <c r="F11" s="321">
        <f>D11-E11</f>
        <v>2.328000000000003</v>
      </c>
      <c r="G11" s="322">
        <f>F11/D11</f>
        <v>0.06000000000000008</v>
      </c>
    </row>
    <row r="12" spans="2:7" s="316" customFormat="1" ht="15">
      <c r="B12" s="317" t="s">
        <v>148</v>
      </c>
      <c r="C12" s="318" t="s">
        <v>147</v>
      </c>
      <c r="D12" s="319">
        <v>42.5</v>
      </c>
      <c r="E12" s="320">
        <f>D12*0.95</f>
        <v>40.375</v>
      </c>
      <c r="F12" s="321">
        <f>D12-E12</f>
        <v>2.125</v>
      </c>
      <c r="G12" s="322">
        <f>F12/D12</f>
        <v>0.05</v>
      </c>
    </row>
    <row r="13" spans="2:8" s="316" customFormat="1" ht="15.75" thickBot="1">
      <c r="B13" s="325" t="s">
        <v>149</v>
      </c>
      <c r="C13" s="326" t="s">
        <v>147</v>
      </c>
      <c r="D13" s="327">
        <v>25.53</v>
      </c>
      <c r="E13" s="328">
        <f>D13*0.92</f>
        <v>23.4876</v>
      </c>
      <c r="F13" s="329">
        <f>D13-E13</f>
        <v>2.0424000000000007</v>
      </c>
      <c r="G13" s="330">
        <f>F13/D13</f>
        <v>0.08000000000000002</v>
      </c>
      <c r="H13" s="331"/>
    </row>
    <row r="14" spans="2:8" s="316" customFormat="1" ht="2.25" customHeight="1">
      <c r="B14" s="257"/>
      <c r="C14" s="332"/>
      <c r="D14" s="333"/>
      <c r="E14" s="334"/>
      <c r="F14" s="335"/>
      <c r="G14" s="331"/>
      <c r="H14" s="331"/>
    </row>
    <row r="15" spans="2:10" s="338" customFormat="1" ht="14.25" customHeight="1">
      <c r="B15" s="336" t="s">
        <v>213</v>
      </c>
      <c r="C15" s="780" t="s">
        <v>164</v>
      </c>
      <c r="D15" s="781"/>
      <c r="E15" s="781"/>
      <c r="F15" s="781"/>
      <c r="G15" s="781"/>
      <c r="H15" s="337"/>
      <c r="I15" s="337"/>
      <c r="J15" s="337"/>
    </row>
    <row r="16" spans="2:7" ht="15">
      <c r="B16" s="339" t="s">
        <v>214</v>
      </c>
      <c r="C16" s="782" t="s">
        <v>154</v>
      </c>
      <c r="D16" s="781"/>
      <c r="E16" s="781"/>
      <c r="F16" s="781"/>
      <c r="G16" s="781"/>
    </row>
    <row r="17" spans="2:7" ht="15">
      <c r="B17" s="339" t="s">
        <v>215</v>
      </c>
      <c r="C17" s="782" t="s">
        <v>153</v>
      </c>
      <c r="D17" s="781"/>
      <c r="E17" s="781"/>
      <c r="F17" s="781"/>
      <c r="G17" s="781"/>
    </row>
    <row r="18" spans="2:7" ht="15">
      <c r="B18" s="339" t="s">
        <v>216</v>
      </c>
      <c r="C18" s="782" t="s">
        <v>155</v>
      </c>
      <c r="D18" s="781"/>
      <c r="E18" s="781"/>
      <c r="F18" s="781"/>
      <c r="G18" s="781"/>
    </row>
    <row r="19" spans="2:7" ht="15">
      <c r="B19" s="340" t="s">
        <v>156</v>
      </c>
      <c r="C19" s="341"/>
      <c r="D19" s="342"/>
      <c r="E19" s="342"/>
      <c r="F19" s="341"/>
      <c r="G19" s="343"/>
    </row>
    <row r="20" spans="2:7" ht="15">
      <c r="B20" s="344" t="s">
        <v>151</v>
      </c>
      <c r="C20" s="345"/>
      <c r="D20" s="346"/>
      <c r="E20" s="346"/>
      <c r="F20" s="345"/>
      <c r="G20" s="347"/>
    </row>
    <row r="21" spans="2:7" ht="15">
      <c r="B21" s="348" t="s">
        <v>152</v>
      </c>
      <c r="C21" s="349"/>
      <c r="D21" s="350"/>
      <c r="E21" s="350"/>
      <c r="F21" s="349"/>
      <c r="G21" s="351"/>
    </row>
    <row r="22" ht="6.75" customHeight="1"/>
    <row r="23" spans="2:5" ht="15.75" thickBot="1">
      <c r="B23" s="760" t="s">
        <v>163</v>
      </c>
      <c r="C23" s="760"/>
      <c r="D23" s="760"/>
      <c r="E23" s="760"/>
    </row>
    <row r="24" spans="2:6" ht="15">
      <c r="B24" s="352"/>
      <c r="C24" s="353" t="s">
        <v>160</v>
      </c>
      <c r="D24" s="353" t="s">
        <v>162</v>
      </c>
      <c r="E24" s="778" t="s">
        <v>182</v>
      </c>
      <c r="F24" s="779"/>
    </row>
    <row r="25" spans="2:6" ht="15.75" thickBot="1">
      <c r="B25" s="354" t="s">
        <v>157</v>
      </c>
      <c r="C25" s="355" t="s">
        <v>161</v>
      </c>
      <c r="D25" s="355" t="s">
        <v>161</v>
      </c>
      <c r="E25" s="308" t="s">
        <v>144</v>
      </c>
      <c r="F25" s="309" t="s">
        <v>183</v>
      </c>
    </row>
    <row r="26" spans="2:6" ht="15">
      <c r="B26" s="356">
        <v>0.05</v>
      </c>
      <c r="C26" s="357">
        <f aca="true" t="shared" si="0" ref="C26:C36">D26/0.935</f>
        <v>17.690399631212838</v>
      </c>
      <c r="D26" s="358">
        <f>$C$39*(1-B26)-2.444*B26-2.444*$C$40/100*8.936*(1-B26)</f>
        <v>16.540523655184003</v>
      </c>
      <c r="E26" s="359">
        <f>C26-D26</f>
        <v>1.1498759760288344</v>
      </c>
      <c r="F26" s="360">
        <f>E26/C26</f>
        <v>0.065</v>
      </c>
    </row>
    <row r="27" spans="2:8" ht="15">
      <c r="B27" s="356">
        <v>0.1</v>
      </c>
      <c r="C27" s="357">
        <f t="shared" si="0"/>
        <v>16.62175208518503</v>
      </c>
      <c r="D27" s="358">
        <f>$C$39*(1-B27)-2.444*B27-2.444*$C$40/100*8.936*(1-B27)</f>
        <v>15.541338199648003</v>
      </c>
      <c r="E27" s="361">
        <f aca="true" t="shared" si="1" ref="E27:E36">C27-D27</f>
        <v>1.0804138855370269</v>
      </c>
      <c r="F27" s="362">
        <f aca="true" t="shared" si="2" ref="F27:F36">E27/C27</f>
        <v>0.065</v>
      </c>
      <c r="H27" s="363"/>
    </row>
    <row r="28" spans="2:6" ht="15">
      <c r="B28" s="356">
        <v>0.15</v>
      </c>
      <c r="C28" s="357">
        <f t="shared" si="0"/>
        <v>15.553104539157218</v>
      </c>
      <c r="D28" s="358">
        <f aca="true" t="shared" si="3" ref="D28:D36">$C$39*(1-B28)-2.444*B28-2.444*$C$40/100*8.936*(1-B28)</f>
        <v>14.542152744112</v>
      </c>
      <c r="E28" s="361">
        <f t="shared" si="1"/>
        <v>1.0109517950452176</v>
      </c>
      <c r="F28" s="362">
        <f t="shared" si="2"/>
        <v>0.0649999999999999</v>
      </c>
    </row>
    <row r="29" spans="2:6" ht="15">
      <c r="B29" s="356">
        <v>0.2</v>
      </c>
      <c r="C29" s="357">
        <f t="shared" si="0"/>
        <v>14.484456993129413</v>
      </c>
      <c r="D29" s="358">
        <f t="shared" si="3"/>
        <v>13.542967288576001</v>
      </c>
      <c r="E29" s="361">
        <f t="shared" si="1"/>
        <v>0.9414897045534119</v>
      </c>
      <c r="F29" s="362">
        <f t="shared" si="2"/>
        <v>0.065</v>
      </c>
    </row>
    <row r="30" spans="2:6" ht="15">
      <c r="B30" s="356">
        <v>0.25</v>
      </c>
      <c r="C30" s="357">
        <f t="shared" si="0"/>
        <v>13.415809447101605</v>
      </c>
      <c r="D30" s="358">
        <f t="shared" si="3"/>
        <v>12.54378183304</v>
      </c>
      <c r="E30" s="361">
        <f t="shared" si="1"/>
        <v>0.8720276140616043</v>
      </c>
      <c r="F30" s="362">
        <f t="shared" si="2"/>
        <v>0.065</v>
      </c>
    </row>
    <row r="31" spans="2:6" ht="15">
      <c r="B31" s="356">
        <v>0.3</v>
      </c>
      <c r="C31" s="357">
        <f t="shared" si="0"/>
        <v>12.347161901073797</v>
      </c>
      <c r="D31" s="358">
        <f t="shared" si="3"/>
        <v>11.544596377504</v>
      </c>
      <c r="E31" s="361">
        <f t="shared" si="1"/>
        <v>0.8025655235697968</v>
      </c>
      <c r="F31" s="362">
        <f t="shared" si="2"/>
        <v>0.065</v>
      </c>
    </row>
    <row r="32" spans="2:6" ht="15">
      <c r="B32" s="356">
        <v>0.35</v>
      </c>
      <c r="C32" s="357">
        <f t="shared" si="0"/>
        <v>11.278514355045992</v>
      </c>
      <c r="D32" s="358">
        <f t="shared" si="3"/>
        <v>10.545410921968003</v>
      </c>
      <c r="E32" s="361">
        <f t="shared" si="1"/>
        <v>0.7331034330779893</v>
      </c>
      <c r="F32" s="362">
        <f t="shared" si="2"/>
        <v>0.06499999999999999</v>
      </c>
    </row>
    <row r="33" spans="2:6" ht="15">
      <c r="B33" s="356">
        <v>0.4</v>
      </c>
      <c r="C33" s="357">
        <f t="shared" si="0"/>
        <v>10.209866809018182</v>
      </c>
      <c r="D33" s="358">
        <f t="shared" si="3"/>
        <v>9.546225466432</v>
      </c>
      <c r="E33" s="361">
        <f t="shared" si="1"/>
        <v>0.6636413425861818</v>
      </c>
      <c r="F33" s="362">
        <f t="shared" si="2"/>
        <v>0.065</v>
      </c>
    </row>
    <row r="34" spans="2:6" ht="15">
      <c r="B34" s="356">
        <v>0.45</v>
      </c>
      <c r="C34" s="357">
        <f t="shared" si="0"/>
        <v>9.141219262990376</v>
      </c>
      <c r="D34" s="358">
        <f t="shared" si="3"/>
        <v>8.547040010896001</v>
      </c>
      <c r="E34" s="361">
        <f t="shared" si="1"/>
        <v>0.5941792520943743</v>
      </c>
      <c r="F34" s="362">
        <f t="shared" si="2"/>
        <v>0.06499999999999999</v>
      </c>
    </row>
    <row r="35" spans="2:6" ht="15">
      <c r="B35" s="356">
        <v>0.5</v>
      </c>
      <c r="C35" s="357">
        <f t="shared" si="0"/>
        <v>8.072571716962567</v>
      </c>
      <c r="D35" s="358">
        <f t="shared" si="3"/>
        <v>7.547854555360001</v>
      </c>
      <c r="E35" s="361">
        <f t="shared" si="1"/>
        <v>0.5247171616025668</v>
      </c>
      <c r="F35" s="362">
        <f t="shared" si="2"/>
        <v>0.06499999999999999</v>
      </c>
    </row>
    <row r="36" spans="2:6" ht="15.75" thickBot="1">
      <c r="B36" s="364">
        <v>0.55</v>
      </c>
      <c r="C36" s="365">
        <f t="shared" si="0"/>
        <v>7.003924170934758</v>
      </c>
      <c r="D36" s="366">
        <f t="shared" si="3"/>
        <v>6.548669099823999</v>
      </c>
      <c r="E36" s="367">
        <f t="shared" si="1"/>
        <v>0.45525507111075925</v>
      </c>
      <c r="F36" s="368">
        <f t="shared" si="2"/>
        <v>0.06499999999999999</v>
      </c>
    </row>
    <row r="37" ht="6" customHeight="1">
      <c r="B37" s="369"/>
    </row>
    <row r="38" spans="2:4" ht="26.25" customHeight="1">
      <c r="B38" s="777" t="s">
        <v>222</v>
      </c>
      <c r="C38" s="777"/>
      <c r="D38" s="777"/>
    </row>
    <row r="39" spans="2:6" ht="15">
      <c r="B39" s="370" t="s">
        <v>158</v>
      </c>
      <c r="C39" s="373">
        <v>18.69</v>
      </c>
      <c r="D39" s="275" t="s">
        <v>161</v>
      </c>
      <c r="E39" s="297"/>
      <c r="F39" s="298"/>
    </row>
    <row r="40" spans="2:6" ht="15">
      <c r="B40" s="370" t="s">
        <v>159</v>
      </c>
      <c r="C40" s="374">
        <v>5.267</v>
      </c>
      <c r="D40" s="275" t="s">
        <v>85</v>
      </c>
      <c r="E40" s="297"/>
      <c r="F40" s="298"/>
    </row>
    <row r="41" ht="15">
      <c r="B41" s="371" t="s">
        <v>207</v>
      </c>
    </row>
    <row r="42" ht="15">
      <c r="B42" s="370"/>
    </row>
    <row r="51" ht="15">
      <c r="B51" s="372"/>
    </row>
    <row r="52" ht="15">
      <c r="B52" s="372"/>
    </row>
  </sheetData>
  <sheetProtection/>
  <mergeCells count="8">
    <mergeCell ref="B38:D38"/>
    <mergeCell ref="B23:E23"/>
    <mergeCell ref="F7:G7"/>
    <mergeCell ref="E24:F24"/>
    <mergeCell ref="C15:G15"/>
    <mergeCell ref="C16:G16"/>
    <mergeCell ref="C17:G17"/>
    <mergeCell ref="C18:G18"/>
  </mergeCells>
  <hyperlinks>
    <hyperlink ref="A1" location="Notes!B18" display="X"/>
  </hyperlinks>
  <printOptions/>
  <pageMargins left="0.7086614173228347" right="0.7086614173228347" top="0.7480314960629921" bottom="0.7480314960629921" header="0.31496062992125984" footer="0.31496062992125984"/>
  <pageSetup fitToHeight="1" fitToWidth="1" orientation="landscape" scale="92" r:id="rId1"/>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11.421875" defaultRowHeight="15"/>
  <cols>
    <col min="1" max="1" width="4.28125" style="0" customWidth="1"/>
    <col min="2" max="2" width="22.8515625" style="0" customWidth="1"/>
    <col min="3" max="3" width="48.421875" style="0" customWidth="1"/>
    <col min="4" max="4" width="58.140625" style="0" customWidth="1"/>
  </cols>
  <sheetData>
    <row r="1" spans="1:6" s="218" customFormat="1" ht="19.5" thickBot="1">
      <c r="A1" s="461" t="s">
        <v>243</v>
      </c>
      <c r="B1" s="464" t="s">
        <v>244</v>
      </c>
      <c r="F1" s="248"/>
    </row>
    <row r="2" s="218" customFormat="1" ht="12.75">
      <c r="F2" s="248"/>
    </row>
    <row r="3" spans="2:4" ht="15.75">
      <c r="B3" s="783" t="s">
        <v>77</v>
      </c>
      <c r="C3" s="783"/>
      <c r="D3" s="783"/>
    </row>
    <row r="4" spans="2:4" ht="15">
      <c r="B4" s="421" t="s">
        <v>8</v>
      </c>
      <c r="C4" s="421" t="s">
        <v>9</v>
      </c>
      <c r="D4" s="421" t="s">
        <v>10</v>
      </c>
    </row>
    <row r="5" spans="1:4" s="1" customFormat="1" ht="30">
      <c r="A5" s="1">
        <v>1</v>
      </c>
      <c r="B5" s="2" t="s">
        <v>17</v>
      </c>
      <c r="C5" s="2" t="s">
        <v>18</v>
      </c>
      <c r="D5" s="4" t="s">
        <v>19</v>
      </c>
    </row>
    <row r="6" spans="1:4" s="1" customFormat="1" ht="30">
      <c r="A6" s="1">
        <v>2</v>
      </c>
      <c r="B6" s="2" t="s">
        <v>17</v>
      </c>
      <c r="C6" s="584" t="s">
        <v>318</v>
      </c>
      <c r="D6" s="4" t="s">
        <v>38</v>
      </c>
    </row>
    <row r="7" spans="1:4" ht="30">
      <c r="A7" s="1">
        <v>3</v>
      </c>
      <c r="B7" s="2" t="s">
        <v>15</v>
      </c>
      <c r="C7" s="2" t="s">
        <v>14</v>
      </c>
      <c r="D7" s="4" t="s">
        <v>16</v>
      </c>
    </row>
    <row r="8" spans="1:4" ht="31.5" customHeight="1">
      <c r="A8" s="1">
        <v>4</v>
      </c>
      <c r="B8" s="2" t="s">
        <v>11</v>
      </c>
      <c r="C8" s="3" t="s">
        <v>12</v>
      </c>
      <c r="D8" s="4" t="s">
        <v>13</v>
      </c>
    </row>
    <row r="9" spans="1:4" ht="50.25" customHeight="1">
      <c r="A9" s="1">
        <v>5</v>
      </c>
      <c r="B9" s="7" t="s">
        <v>50</v>
      </c>
      <c r="C9" s="3" t="s">
        <v>328</v>
      </c>
      <c r="D9" s="4" t="s">
        <v>329</v>
      </c>
    </row>
    <row r="10" spans="1:4" ht="30">
      <c r="A10" s="1">
        <v>6</v>
      </c>
      <c r="B10" s="7" t="s">
        <v>51</v>
      </c>
      <c r="C10" s="582" t="s">
        <v>317</v>
      </c>
      <c r="D10" s="4" t="s">
        <v>52</v>
      </c>
    </row>
    <row r="11" spans="1:4" ht="30">
      <c r="A11" s="1">
        <v>7</v>
      </c>
      <c r="B11" s="7" t="s">
        <v>51</v>
      </c>
      <c r="C11" s="582" t="s">
        <v>316</v>
      </c>
      <c r="D11" s="4" t="s">
        <v>53</v>
      </c>
    </row>
    <row r="12" spans="1:4" ht="30">
      <c r="A12" s="1">
        <v>8</v>
      </c>
      <c r="B12" s="10" t="s">
        <v>51</v>
      </c>
      <c r="C12" s="583" t="s">
        <v>315</v>
      </c>
      <c r="D12" s="11" t="s">
        <v>54</v>
      </c>
    </row>
    <row r="13" spans="1:4" s="8" customFormat="1" ht="48.75" customHeight="1">
      <c r="A13" s="9">
        <v>9</v>
      </c>
      <c r="B13" s="12" t="s">
        <v>68</v>
      </c>
      <c r="C13" s="12" t="s">
        <v>69</v>
      </c>
      <c r="D13" s="13" t="s">
        <v>70</v>
      </c>
    </row>
    <row r="14" spans="1:4" s="8" customFormat="1" ht="48.75" customHeight="1">
      <c r="A14" s="9">
        <v>10</v>
      </c>
      <c r="B14" s="12" t="s">
        <v>71</v>
      </c>
      <c r="C14" s="12" t="s">
        <v>72</v>
      </c>
      <c r="D14" s="13" t="s">
        <v>73</v>
      </c>
    </row>
    <row r="15" spans="1:4" s="8" customFormat="1" ht="48.75" customHeight="1">
      <c r="A15" s="9">
        <v>11</v>
      </c>
      <c r="B15" s="12" t="s">
        <v>74</v>
      </c>
      <c r="C15" s="12" t="s">
        <v>75</v>
      </c>
      <c r="D15" s="13" t="s">
        <v>76</v>
      </c>
    </row>
    <row r="16" spans="1:4" ht="20.25" customHeight="1">
      <c r="A16" s="9">
        <v>12</v>
      </c>
      <c r="B16" s="15" t="s">
        <v>230</v>
      </c>
      <c r="C16" s="15" t="s">
        <v>80</v>
      </c>
      <c r="D16" s="16" t="s">
        <v>229</v>
      </c>
    </row>
    <row r="17" spans="1:4" ht="17.25" customHeight="1" thickBot="1">
      <c r="A17" s="9">
        <v>13</v>
      </c>
      <c r="B17" s="15" t="s">
        <v>83</v>
      </c>
      <c r="C17" s="15" t="s">
        <v>82</v>
      </c>
      <c r="D17" s="16" t="s">
        <v>81</v>
      </c>
    </row>
    <row r="18" spans="1:4" ht="30.75" thickBot="1">
      <c r="A18" s="9">
        <v>14</v>
      </c>
      <c r="B18" s="424" t="s">
        <v>231</v>
      </c>
      <c r="C18" s="422" t="s">
        <v>232</v>
      </c>
      <c r="D18" s="423" t="s">
        <v>233</v>
      </c>
    </row>
    <row r="21" ht="15">
      <c r="C21" s="14"/>
    </row>
  </sheetData>
  <sheetProtection sheet="1" objects="1" scenarios="1"/>
  <mergeCells count="1">
    <mergeCell ref="B3:D3"/>
  </mergeCells>
  <hyperlinks>
    <hyperlink ref="D8" r:id="rId1" display="http://heatne.com/pdfs/2012/keyPrinciples/albrecht_boiler.pdf"/>
    <hyperlink ref="D7" r:id="rId2" display="http://www.carbontrust.com/media/31667/ctg012_biomass_heating.pdf"/>
    <hyperlink ref="D5" r:id="rId3" display="http://www2.ademe.fr/servlet/getDoc?sort=-1&amp;cid=96&amp;m=3&amp;id=42376&amp;ref=&amp;nocache=yes&amp;p1=111"/>
    <hyperlink ref="D6" r:id="rId4" display="http://www2.ademe.fr/servlet/getDoc?cid=96&amp;m=3&amp;id=82628&amp;p1=30&amp;ref=12441"/>
    <hyperlink ref="D10" r:id="rId5" display="http://www.spsq.info/spsq_fichiers/files/fiche_demarche_biomasse.pdf"/>
    <hyperlink ref="D11" r:id="rId6" display="http://www.spsq.info/spsq_fichiers/files/fiche_approvisionnement_biomasse.pdf"/>
    <hyperlink ref="D12" r:id="rId7" display="http://www.spsq.info/spsq_fichiers/files/fiche_technique_biomasse.pdf"/>
    <hyperlink ref="D13" r:id="rId8" display="http://www.efficaciteenergetique.mrnf.gouv.qc.ca/clientele-affaires/industries/programmes-et-aide-financiere-destines-aux-industries/programme-de-reduction-de-consommation-de-mazout-lourd/"/>
    <hyperlink ref="D14" r:id="rId9" display="http://www.efficaciteenergetique.mrnf.gouv.qc.ca/innovation-technologique/technoclimat/ - c461"/>
    <hyperlink ref="D15" r:id="rId10" display="http://www4.gouv.qc.ca/FR/Portail/Citoyens/programme-service/Pages/Info.aspx?sqctype=sujet&amp;sqcid=1411"/>
    <hyperlink ref="D17" r:id="rId11" display="ftp://ftp.fao.org/docrep/fao/009/j6439f/j6439f06.pdf"/>
    <hyperlink ref="D16" r:id="rId12" display="www.dgr.ca/ppt/Biomasse_forestiere_et_Bioenergie.pps"/>
    <hyperlink ref="D18" r:id="rId13" display="http://www.biomasscenter.org/pdfs/DOER_Pellet_Guidebook.pdf"/>
    <hyperlink ref="A1" location="Notes!B18" display="X"/>
    <hyperlink ref="D9" r:id="rId14" display="http://www.cides.qc.ca/ingenierie.html"/>
  </hyperlinks>
  <printOptions/>
  <pageMargins left="0.7086614173228347" right="0.7086614173228347" top="0.7480314960629921" bottom="0.7480314960629921" header="0.31496062992125984" footer="0.31496062992125984"/>
  <pageSetup fitToHeight="1" fitToWidth="1" orientation="landscape" scale="92"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Jean-François Laliberté</cp:lastModifiedBy>
  <cp:lastPrinted>2012-06-07T15:37:52Z</cp:lastPrinted>
  <dcterms:created xsi:type="dcterms:W3CDTF">2012-04-17T18:26:16Z</dcterms:created>
  <dcterms:modified xsi:type="dcterms:W3CDTF">2012-06-07T17:36:19Z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